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  <definedName name="_xlnm.Print_Area" localSheetId="0">'Лист1'!$A$1:$F$333</definedName>
  </definedNames>
  <calcPr fullCalcOnLoad="1"/>
</workbook>
</file>

<file path=xl/sharedStrings.xml><?xml version="1.0" encoding="utf-8"?>
<sst xmlns="http://schemas.openxmlformats.org/spreadsheetml/2006/main" count="1355" uniqueCount="522">
  <si>
    <t>Компенсация расходов на оплату жилых помещений и коммунальных услуг в соответствии с Законом Челябинской области «О дополнительных мерах социальной защиты ветеранов в Челябинской области» (Социальное обеспечение и иные выплаты населению)</t>
  </si>
  <si>
    <t>Компенсационные выплаты за пользование услугами связи в соответствии с Законом Челябинской области «О дополнительных мерах социальной защиты ветеранов в Челябинской области» (Социальное обеспечение и иные выплаты населению)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</si>
  <si>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(Социальное обеспечение и иные выплаты населению)</t>
  </si>
  <si>
    <t>Ежемесячное пособие по уходу за ребенком в возрасте от полутора до трех лет в соответствии с Законом Челябинской области «О ежемесячном пособии по уходу за ребенком в возрасте от полутора до трех лет» (Социальное обеспечение и иные выплаты населению)</t>
  </si>
  <si>
    <t>Ежемесячное пособие на ребенка в соответствии с Законом Челябинской области «О ежемесячном пособии на ребенка» (Социальное обеспечение и иные выплаты населению)</t>
  </si>
  <si>
    <t>Выплата областного единовременного пособия при рождении ребенка в соответствии с Законом Челябинской области «Об областном единовременном пособии при рождении ребенка» (Социальное обеспечение и иные выплаты населению)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</si>
  <si>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 (Социальное обеспечение и иные выплаты населению)</t>
  </si>
  <si>
    <t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 (Социальное обеспечение и иные выплаты населению)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</si>
  <si>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 81-ФЗ «О государственных пособиях гражданам, имеющим детей» (Социальное обеспечение и иные выплаты населению)</t>
  </si>
  <si>
    <t>Проведение мероприятий "Будущее Чебаркуля" (Социальное обеспечение и иные выплаты населению)</t>
  </si>
  <si>
    <t>Реализация мероприятий по поддержке семей и детей группы риска (Социальное обеспечение и иные выплаты населению)</t>
  </si>
  <si>
    <t>Ежемесячная денежная выплата Почетным гражданам города (Социальное обеспечение и иные выплаты населению)</t>
  </si>
  <si>
    <t>Выплата единовременного денежного пособия (Социальное обеспечение и иные выплаты населению)</t>
  </si>
  <si>
    <t>Оказание материальной помощи в связи с пожаром (Социальное обеспечение и иные выплаты населению)</t>
  </si>
  <si>
    <t>Единовременное денежное пособие юбилярам (90, 95, 100 лет) (Социальное обеспечение и иные выплаты населению)</t>
  </si>
  <si>
    <t>Реализация полномочий Российской Федерации на оплату жилищно-коммунальных услуг отдельным категориям граждан (Социальное обеспечение и иные выплаты населению)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</si>
  <si>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(Иные бюджетные ассигнования)</t>
  </si>
  <si>
    <t>Организация работы органов управления социальной защиты населения муниципальных образований (Иные бюджетные ассигнования)</t>
  </si>
  <si>
    <t>Резервные фонды местных администраций (Иные бюджетные ассигнования)</t>
  </si>
  <si>
    <t>Реализация полномочий Российской Федерации по предоставлению отдельных мер социальной поддержки граждан, подвергшихся воздействию радиации (Социальное обеспечение и иные выплаты населению)</t>
  </si>
  <si>
    <t>Реализация полномочий Российской Федерации по предоставлению отдельных мер социальной поддержки граждан, подвергшихся воздействию радиации  (Закупка товаров, работ и услуг для государственных (муниципальных) нужд)</t>
  </si>
  <si>
    <t>Мероприятия по землеустройству и землепользованию (Иные бюджетные ассигнования)</t>
  </si>
  <si>
    <t>Поисковые и аварийно-спасательные учреждения (Иные бюджетные ассигнования)</t>
  </si>
  <si>
    <t>Руководитель контрольно-счетной палаты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</si>
  <si>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Иные расходы на реализацию отраслевых мероприятий</t>
  </si>
  <si>
    <t>60 0 00 00000</t>
  </si>
  <si>
    <t>Поисковые и аварийно-спасательные учреждения (Закупка товаров, работ и услуг для государственных (муниципальных) нужд)</t>
  </si>
  <si>
    <t>Наименование</t>
  </si>
  <si>
    <t>раздел</t>
  </si>
  <si>
    <t>подраздел</t>
  </si>
  <si>
    <t>целевая статья</t>
  </si>
  <si>
    <t>Всего</t>
  </si>
  <si>
    <t>01</t>
  </si>
  <si>
    <t>03</t>
  </si>
  <si>
    <t>02</t>
  </si>
  <si>
    <t>04</t>
  </si>
  <si>
    <t>06</t>
  </si>
  <si>
    <t>09</t>
  </si>
  <si>
    <t>08</t>
  </si>
  <si>
    <t>10</t>
  </si>
  <si>
    <t>05</t>
  </si>
  <si>
    <t>07</t>
  </si>
  <si>
    <t>12</t>
  </si>
  <si>
    <t>11</t>
  </si>
  <si>
    <t>13</t>
  </si>
  <si>
    <t>Руб.</t>
  </si>
  <si>
    <t>Обеспечение деятельности (оказание услуг) подведомственных казенных учреждений</t>
  </si>
  <si>
    <t>Финансовое обеспечение муниципального задания на оказание муниципальных услуг (выполнение работ)</t>
  </si>
  <si>
    <t>100</t>
  </si>
  <si>
    <t>200</t>
  </si>
  <si>
    <t>Уплата налога на имущество организаций, земельного и транспортного налогов</t>
  </si>
  <si>
    <t>800</t>
  </si>
  <si>
    <t>300</t>
  </si>
  <si>
    <t>600</t>
  </si>
  <si>
    <t>группа видов расходов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</si>
  <si>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</si>
  <si>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 (Предоставление субсидий бюджетным, автономным учреждениям и иным некоммерческим организациям)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</si>
  <si>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</si>
  <si>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99 0 00 00000</t>
  </si>
  <si>
    <t>Непрограммное направление деятельности</t>
  </si>
  <si>
    <t>Расходы общегосударственного характера</t>
  </si>
  <si>
    <t>99 0 04 00000</t>
  </si>
  <si>
    <t>99 0 04 20400</t>
  </si>
  <si>
    <t>99 0 04 20300</t>
  </si>
  <si>
    <t>Глава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</si>
  <si>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Руководство и управление в сфере установленных функций органов государственной власти субъектов РФ и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</si>
  <si>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Руководство и управление в сфере установленных функций органов государственной власти субъектов РФ и органов местного самоуправления (Закупка товаров, работ и услуг для государственных (муниципальных) нужд)</t>
  </si>
  <si>
    <t>Руководство и управление в сфере установленных функций органов государственной власти субъектов РФ и органов местного самоуправления (Иные бюджетные ассигнования)</t>
  </si>
  <si>
    <t>99 0 04 21100</t>
  </si>
  <si>
    <t>Председатель представительного органа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</si>
  <si>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99 0 89 00000</t>
  </si>
  <si>
    <t>99 0 89 20400</t>
  </si>
  <si>
    <t>Подъемные выплаты вновь трудоустроенным специалистам с высшим медицинским образованием (Социальное обеспечение и иные выплаты населению)</t>
  </si>
  <si>
    <t>50 0 00 00000</t>
  </si>
  <si>
    <t>50 0 10 00000</t>
  </si>
  <si>
    <t>50 0 10 79508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</si>
  <si>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</si>
  <si>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49 0 00 00000</t>
  </si>
  <si>
    <t>49 0 55 00000</t>
  </si>
  <si>
    <t>49 0 55 79580</t>
  </si>
  <si>
    <t>48 0 00 00000</t>
  </si>
  <si>
    <t>99 0 04 22500</t>
  </si>
  <si>
    <t>Капитальные вложения в объекты государственной (муниципальной) собственности</t>
  </si>
  <si>
    <t>58 0 00 00000</t>
  </si>
  <si>
    <t>58 0 09 00000</t>
  </si>
  <si>
    <t>58 0 09 79514</t>
  </si>
  <si>
    <t>400</t>
  </si>
  <si>
    <t>Проведение мероприятий в рамках программы (Капитальные вложения в объекты недвижимого имущества государственной (муниципальной) собственности)</t>
  </si>
  <si>
    <t>63 0 00 00000</t>
  </si>
  <si>
    <t>62 0 00 00000</t>
  </si>
  <si>
    <t>62 0 07 00000</t>
  </si>
  <si>
    <t>62 0 07 79545</t>
  </si>
  <si>
    <t>Мероприятия в рамках программы по оздоровлению экологической обстановки (Закупка товаров, работ и услуг для государственных (муниципальных) нужд)</t>
  </si>
  <si>
    <t>Подпрограмма "Оказание молодым семьям государственной поддержки для улучшения жилищных условий"</t>
  </si>
  <si>
    <t>Социальные выплаты на улучшение жилищных условий гражданам</t>
  </si>
  <si>
    <t>56 0 00 00000</t>
  </si>
  <si>
    <t>56 1 00 00000</t>
  </si>
  <si>
    <t>56 1 15 00000</t>
  </si>
  <si>
    <t>43 0 20  71000</t>
  </si>
  <si>
    <t>Организация и проведение мероприятий в сфере физической культуры и спорта (Предоставление субсидий бюджетным, автономным учреждениям и иным некоммерческим организациям)</t>
  </si>
  <si>
    <t>Организация и проведение мероприятий в сфере физической культуры и спорта  (Предоставление субсидий бюджетным, автономным учреждениям и иным некоммерческим организациям)</t>
  </si>
  <si>
    <t>Субвенция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</si>
  <si>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63 0 04 65200</t>
  </si>
  <si>
    <t>43 0 20 S1000</t>
  </si>
  <si>
    <t>60 0 11 78008</t>
  </si>
  <si>
    <t>56 2 09 00000</t>
  </si>
  <si>
    <t>56 2 09 79519</t>
  </si>
  <si>
    <t>46 0 07 00000</t>
  </si>
  <si>
    <t>46 0 07 79525</t>
  </si>
  <si>
    <t>Комплексная схема организации дорожного движения (Закупка товаров, работ и услуг для государственных (муниципальных) нужд)</t>
  </si>
  <si>
    <t>Мероприятия по электроснабжению (Капитальные вложения в объекты недвижимого имущества государственной (муниципальной) собственности)</t>
  </si>
  <si>
    <t>Поддержка и развитие профессионального мастерства педагогических работников, поддержка одаренных детей и талантливой молодежи (Социальное обеспечение и иные выплаты населению)</t>
  </si>
  <si>
    <t>Ямочный ремонт дорог (Закупка товаров, работ и услуг для государственных (муниципальных) нужд)</t>
  </si>
  <si>
    <t>Субвенция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 (Закупка товаров, работ и услуг для государственных (муниципальных) нужд)</t>
  </si>
  <si>
    <t>Софинансирование государственной поддержки в решении жилищной проблемы молодых семей, признанных в установленном порядке нуждающимися в улучшении жилищных условий (Социальное обеспечение и иные выплаты населению)</t>
  </si>
  <si>
    <t>Субсидии бюджетным и автономным учреждения на иные цели</t>
  </si>
  <si>
    <t>47 0 00 00000</t>
  </si>
  <si>
    <t>Предоставление общедоступного и бесплатного дошкольного образования в образовательных организациях, реализующих программу дошкольного образования (Предоставление субсидий бюджетным, автономным учреждениям и иным некоммерческим организациям)</t>
  </si>
  <si>
    <t>46 0 00 00000</t>
  </si>
  <si>
    <t>45 0 00 00000</t>
  </si>
  <si>
    <t>45 0 56 00000</t>
  </si>
  <si>
    <t>45 0 56 79542</t>
  </si>
  <si>
    <t>14</t>
  </si>
  <si>
    <t>54 0 00 00000</t>
  </si>
  <si>
    <t>54 0 07 00000</t>
  </si>
  <si>
    <t>Создание благоприятных условий жизнедеятельности населения Чебаркульского городского округа (разработка проектов планировки) (Закупка товаров, работ и услуг для государственных (муниципальных) нужд)</t>
  </si>
  <si>
    <t>Ревакцинация детей школьного возраста против клещевого энцифалита (Предоставление субсидий бюджетным, автономным учреждениям и иным некоммерческим организациям)</t>
  </si>
  <si>
    <t>Подпрограмма "Модернизация объектов коммунальной инфраструктуры"</t>
  </si>
  <si>
    <t>56 2 00 00000</t>
  </si>
  <si>
    <t>59 0 00 00000</t>
  </si>
  <si>
    <t>65 0 00 00000</t>
  </si>
  <si>
    <t>43 0 00 00000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</si>
  <si>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</si>
  <si>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54 0 07 79551</t>
  </si>
  <si>
    <t>Предоставление субсидий некоммерческим организациям (СМИ), для информирования населения о социально-экономическом развитии муниципального образования и о иной официальной информации (Предоставление субсидий бюджетным, автономным учреждениям и иным некоммерческим организациям)</t>
  </si>
  <si>
    <t>Предоставление субсидий некоммерческим организациям инвалидов по зрению для осуществление деятельности по реабилитации инвалидов по зрению (Предоставление субсидий бюджетным, автономным учреждениям и иным некоммерческим организациям)</t>
  </si>
  <si>
    <t>Выполнение публичных обязательств перед физическим лицом, подлежащих исполнению в денежной форме</t>
  </si>
  <si>
    <t>53 0 00 00000</t>
  </si>
  <si>
    <t>Социальная поддержка отдельных категорий граждан</t>
  </si>
  <si>
    <t>52 0 00 00000</t>
  </si>
  <si>
    <t>52 0 16 00000</t>
  </si>
  <si>
    <t>52 0 16 79570</t>
  </si>
  <si>
    <t>Субсидии некоммерческим организациям (за исключением государственных(муниципальных) учреждений)</t>
  </si>
  <si>
    <t>41 0 00 00000</t>
  </si>
  <si>
    <t>99 0 04 07005</t>
  </si>
  <si>
    <t>Проведение городских мероприятий и социальная поддержка ветеранов (пенсионеров) (Предоставление субсидий бюджетным, автономным учреждениям и иным некоммерческим организациям)</t>
  </si>
  <si>
    <t>48 0 07 00000</t>
  </si>
  <si>
    <t>Организация работы органов управления социальной защиты населения муниципальных образований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</si>
  <si>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Реализация переданных государственных полномочий в области охраны труда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</si>
  <si>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</si>
  <si>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Поисковые и аварийно-спасательные учреждения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</si>
  <si>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56 2 07 79517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</si>
  <si>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</si>
  <si>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благоприятных условий в целях привлечения и закрепления медицинских работников для работы в учреждении здравоохранения (Реализация иных государственных функций в области социальной сферы)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</si>
  <si>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(Закупка товаров, работ и услуг для государственных (муниципальных) нужд)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</si>
  <si>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(Иные бюджетные ассигнования)</t>
  </si>
  <si>
    <t>Организация дополнительного образования (Предоставление субсидий бюджетным, автономным учреждениям и иным некоммерческим организациям)</t>
  </si>
  <si>
    <t>Школы-детские сады, школы начальные, неполные средние и средние (Предоставление субсидий бюджетным, автономным учреждениям и иным некоммерческим организациям)</t>
  </si>
  <si>
    <t>Специальные (коррекционные) учреждения (Предоставление субсидий бюджетным, автономным учреждениям и иным некоммерческим организациям)</t>
  </si>
  <si>
    <t>Учреждения по внешкольной работе с детьми (Предоставление субсидий бюджетным, автономным учреждениям и иным некоммерческим организациям)</t>
  </si>
  <si>
    <t>Реализация переданных государственных полномочий по социальному обслуживанию граждан (Предоставление субсидий бюджетным, автономным учреждениям и иным некоммерческим организациям)</t>
  </si>
  <si>
    <t>Учреждения, осуществляющие функции строительного контроля (Предоставление субсидий бюджетным, автономным учреждениям и иным некоммерческим организациям)</t>
  </si>
  <si>
    <t>Организация и осуществление деятельности по опеке и попечительству (Закупка товаров, работ и услуг для государственных (муниципальных) нужд)</t>
  </si>
  <si>
    <t>Проведение мероприятий в рамках календарного плана (Закупка товаров, работ и услуг для государственных (муниципальных) нужд)</t>
  </si>
  <si>
    <t>Проведение мероприятий с детьми и молодежью (Закупка товаров, работ и услуг для государственных (муниципальных) нужд)</t>
  </si>
  <si>
    <t>Реализация мероприятий по поддержке семей и детей группы риска (Закупка товаров, работ и услуг для государственных (муниципальных) нужд)</t>
  </si>
  <si>
    <t>Продуктовые и гигиенические наборы (Закупка товаров, работ и услуг для государственных (муниципальных) нужд)</t>
  </si>
  <si>
    <t>Организация работы органов управления социальной защиты населения муниципальных образований (Закупка товаров, работ и услуг для государственных (муниципальных) нужд)</t>
  </si>
  <si>
    <t>Предоставление гражданам субсидий на оплату жилого помещения и коммунальных услуг (Закупка товаров, работ и услуг для государственных (муниципальных) нужд)</t>
  </si>
  <si>
    <t>Мероприятия по землеустройству и землепользованию (Закупка товаров, работ и услуг для государственных (муниципальных) нужд)</t>
  </si>
  <si>
    <t>Ежемесячная денежная выплата в соответствии с Законом Челябинской области «О мерах социальной поддержки ветеранов в Челябинской области» (Социальное обеспечение и иные выплаты населению)</t>
  </si>
  <si>
    <t>Ежемесячная денежная выплата в соответствии с Законом Челябинской области «О мерах социальной поддержки жертв политических репрессий в Челябинской области» (Социальное обеспечение и иные выплаты населению)</t>
  </si>
  <si>
    <t>Ежемесячная денежная выплата в соответствии с Законом Челябинской области «О звании «Ветеран труда Челябинской области» (Социальное обеспечение и иные выплаты населению)</t>
  </si>
  <si>
    <t>66 0 00 00000</t>
  </si>
  <si>
    <t>Мероприятия по газификации (Закупка товаров, работ и услуг для государственных (муниципальных) нужд)</t>
  </si>
  <si>
    <t>56 2 07 79518</t>
  </si>
  <si>
    <t>56 2 07 00000</t>
  </si>
  <si>
    <t>42 0 00 00000</t>
  </si>
  <si>
    <t>42 0 07 00000</t>
  </si>
  <si>
    <t>39 0 00 00000</t>
  </si>
  <si>
    <t>39 0 07 00000</t>
  </si>
  <si>
    <t>39 0 07 79008</t>
  </si>
  <si>
    <t>40 0 00 00000</t>
  </si>
  <si>
    <t>40 0 04 00000</t>
  </si>
  <si>
    <t>40 0 04 25800</t>
  </si>
  <si>
    <t xml:space="preserve">04 </t>
  </si>
  <si>
    <t>40 0 04 20400</t>
  </si>
  <si>
    <t>41 1 06 00000</t>
  </si>
  <si>
    <t>50 0 20 00000</t>
  </si>
  <si>
    <t>50 0 20 79508</t>
  </si>
  <si>
    <t>54 0 07 79575</t>
  </si>
  <si>
    <t>Мероприятия по газификации (Капитальные вложения в объекты недвижимого имущества государственной (муниципальной) собственности)</t>
  </si>
  <si>
    <t>46 0 20 79523</t>
  </si>
  <si>
    <t>65 0 20 80002</t>
  </si>
  <si>
    <t>65 0 20 00000</t>
  </si>
  <si>
    <t>65 0 20 80001</t>
  </si>
  <si>
    <t>43 0 20 78700</t>
  </si>
  <si>
    <t>56 3 00 00000</t>
  </si>
  <si>
    <t>56 3 07 00000</t>
  </si>
  <si>
    <t>56 3 07 90030</t>
  </si>
  <si>
    <t>Приобретение основных средств для функционирования учреждений ( (Предоставление субсидий бюджетным, автономным учреждениям и иным некоммерческим организациям)</t>
  </si>
  <si>
    <t>Проведение мероприятий в рамках подготовки учреждений к новому учебному году  (Предоставление субсидий бюджетным, автономным учреждениям и иным некоммерческим организациям)</t>
  </si>
  <si>
    <t>Проведение мероприятий в рамках подготовки учреждений к новому учебному году (Предоставление субсидий бюджетным, автономным учреждениям и иным некоммерческим организациям)</t>
  </si>
  <si>
    <t>Мероприятия по разработке проекта планировки курорта Кисегач  (Закупка товаров, работ и услуг для государственных (муниципальных) нужд)</t>
  </si>
  <si>
    <t>Подпрограмма "мероприятия по переселению граждан из жилищного фонда, признанного непригодным для проживания"</t>
  </si>
  <si>
    <t>Снос жилых домов, признанных аварийными, и жилых домов с высоким (более 70 процентов) уровнем износа (Иные бюджетные ассигнования)</t>
  </si>
  <si>
    <t>46 0 20 79524</t>
  </si>
  <si>
    <t>Развитие инфраструктуры образовательных организаций (Предоставление субсидий бюджетным, автономным учреждениям и иным некоммерческим организациям)</t>
  </si>
  <si>
    <t>65 0 20 80003</t>
  </si>
  <si>
    <t>41 1 06 79033</t>
  </si>
  <si>
    <t>42 0 07 80005</t>
  </si>
  <si>
    <t>43 0 10 00000</t>
  </si>
  <si>
    <t>43 0 07 00000</t>
  </si>
  <si>
    <t>43 0 07 78400</t>
  </si>
  <si>
    <t>43 0 07 78500</t>
  </si>
  <si>
    <t>43 0 10 78200</t>
  </si>
  <si>
    <t>43 0 20 00000</t>
  </si>
  <si>
    <t>43 0 20 78300</t>
  </si>
  <si>
    <t>43 0 20 78600</t>
  </si>
  <si>
    <t>43 0 04 00000</t>
  </si>
  <si>
    <t>43 0 04 20400</t>
  </si>
  <si>
    <t>43 0 99 00000</t>
  </si>
  <si>
    <t>43 0 99 45200</t>
  </si>
  <si>
    <t>46 0 10 00000</t>
  </si>
  <si>
    <t>46 0 10 42100</t>
  </si>
  <si>
    <t>46 0 10 82900</t>
  </si>
  <si>
    <t>46 0 10 88900</t>
  </si>
  <si>
    <t>46 0 10 S5500</t>
  </si>
  <si>
    <t>46 0 10 43300</t>
  </si>
  <si>
    <t>46 0 10 42300</t>
  </si>
  <si>
    <t>46 0 20 00000</t>
  </si>
  <si>
    <t>46 0 20 S4400</t>
  </si>
  <si>
    <t>46 0 20 79522</t>
  </si>
  <si>
    <t>46 0 04 00000</t>
  </si>
  <si>
    <t>46 0 04 20400</t>
  </si>
  <si>
    <t>46 0 10 48900</t>
  </si>
  <si>
    <t>46 0 89 00000</t>
  </si>
  <si>
    <t>46 0 89 45200</t>
  </si>
  <si>
    <t>46 0 99 00000</t>
  </si>
  <si>
    <t>46 0 99 45200</t>
  </si>
  <si>
    <t>Реализация иных государственных(муниципальных) функций в области социальной сферы</t>
  </si>
  <si>
    <t>46 0 06 00000</t>
  </si>
  <si>
    <t>46 0 06 03900</t>
  </si>
  <si>
    <t>47 0 10 00000</t>
  </si>
  <si>
    <t>47 0 10 01900</t>
  </si>
  <si>
    <t>47 0 10 42000</t>
  </si>
  <si>
    <t xml:space="preserve">Муниципальная программа "Противодействие незаконному обороту и потреблению наркотических средств, психотропных веществ или их аналогов и незаконному приобретению, хранению, перевозки растений, содержащих наркотические средства или психотропные вещества, либо их частей, содержащих наркотические средства или психотропные вещества в Чебаркульском городском округе на 2017-2019гг." </t>
  </si>
  <si>
    <t>Муниципальная программа "Профилактика безнадзорности правонарушений несовершеннолетних Чебаркульского городского округа на 2017-2019гг."</t>
  </si>
  <si>
    <t>Муниципальная программа "Медицинские кадры на территории Чебаркульского городского округа на 2017-2019гг."</t>
  </si>
  <si>
    <t>Муниципальная программа "Развитие физической культуры и спорта в муниципальном образовании Чебаркульский городской округ на 2017 год и плановый период 2018 и 2019 годы"</t>
  </si>
  <si>
    <t>Муниципальная программа "Развитие туризма в муниципальном образовании Чебаркульский городской округ на 2017 год и плановый период 2018 и 2019 годы"</t>
  </si>
  <si>
    <t>Муниципальная программа "Профилактика правонарушений на территории Чебаркульского городского округа на 2017-2019 годы"</t>
  </si>
  <si>
    <t xml:space="preserve">Муниципальная программа "Развитие образования в Чебаркульском городском округе на 2017-2019 годы" </t>
  </si>
  <si>
    <t>Муниципальная программа "Поддержка и развитие дошкольного образования в Чебаркульском городском округе на 2017-2019 годы"</t>
  </si>
  <si>
    <t xml:space="preserve">Муниципальная программа "Молодежь Чебаркуля на 2017-2019 годы" </t>
  </si>
  <si>
    <t>Муниципальная программа "Предоставление государственных и муниципальных услуг на территории Чебаркульского городского округа на 2017-2019 годы"</t>
  </si>
  <si>
    <t>Муниципальная программа "Обеспечение выполнения мероприятий в сфере предупреждения возникновения и развития чрезвычайных ситуаций в Чебаркульском городском округе на 2017-2019 годы"</t>
  </si>
  <si>
    <t>Муниципальная программа "Крепкая семья на 2017-2019 годы"</t>
  </si>
  <si>
    <t xml:space="preserve">Муниципальная программа "О социальной поддержке населения муниципального образования Чебаркульский городской округ на 2017-2019 годы" </t>
  </si>
  <si>
    <t>Муниципальная программа "Подготовка проектов планировки территорий Чебаркульского городского округа на 2017-2019 годы"</t>
  </si>
  <si>
    <t>Муниципальная программа "Эффективное управление муниципальной собственностью Чебаркульского городского округа на 2017-2019 годы"</t>
  </si>
  <si>
    <t>Муниципальная программа "Повышение безопасности дорожного движения и создание безопасных условий передвижения пешеходов в Чебаркульском городском округе на 2017-2019 годы"</t>
  </si>
  <si>
    <t>Муниципальная программа "Благоустройство территории Чебаркульского городского округа на 2017-2019 годы "</t>
  </si>
  <si>
    <t xml:space="preserve">Муниципальная программа "Поддержка социально ориентированных некоммерческих организаций Чебаркульского городского округа на 2017 - 2019 годы" </t>
  </si>
  <si>
    <t>Муниципальная программа "Природоохранные мероприятия оздоровления экологической обстановки на территории МО "Чебаркульский городской округ" на 2017 - 2019 годы"</t>
  </si>
  <si>
    <t>Муниципальная программа "Развитие культуры в муниципальном образовании Чебаркульский городской округ на 2017 год и на период 2018 и 2019 годы"</t>
  </si>
  <si>
    <t>Муниципальная программа "Управление муниципальными финансами и муниципальным долгом Чебаркульского городского округа на 2017 год и на период 2018 и 2019 годы"</t>
  </si>
  <si>
    <t>47 0 06 00000</t>
  </si>
  <si>
    <t>47 0 06 04900</t>
  </si>
  <si>
    <t>51 0 00 00000</t>
  </si>
  <si>
    <t>51 0 89 00000</t>
  </si>
  <si>
    <t>51 0 89 30200</t>
  </si>
  <si>
    <t>51 0 99 00000</t>
  </si>
  <si>
    <t>51 0 99 30200</t>
  </si>
  <si>
    <t>52 0 99 00000</t>
  </si>
  <si>
    <t>52 0 99 22100</t>
  </si>
  <si>
    <t>52 0 16 22300</t>
  </si>
  <si>
    <t>52 0 16 22600</t>
  </si>
  <si>
    <t>52 0 04 00000</t>
  </si>
  <si>
    <t>52 0 04 22900</t>
  </si>
  <si>
    <t>52 0 15 00000</t>
  </si>
  <si>
    <t>52 0 15 22200</t>
  </si>
  <si>
    <t>53 0 10 00000</t>
  </si>
  <si>
    <t>53 0 10 48000</t>
  </si>
  <si>
    <t>53 0 16 00000</t>
  </si>
  <si>
    <t>53 0 16 21100</t>
  </si>
  <si>
    <t>53 0 16 21200</t>
  </si>
  <si>
    <t>53 0 16 21300</t>
  </si>
  <si>
    <t>53 0 16 21400</t>
  </si>
  <si>
    <t>53 0 16 21700</t>
  </si>
  <si>
    <t>53 0 16 21900</t>
  </si>
  <si>
    <t>53 0 16 22400</t>
  </si>
  <si>
    <t>53 0 16 22500</t>
  </si>
  <si>
    <t>53 0 16 22700</t>
  </si>
  <si>
    <t>53 0 16 49000</t>
  </si>
  <si>
    <t>53 0 16 51370</t>
  </si>
  <si>
    <t>53 0 16 52200</t>
  </si>
  <si>
    <t>53 0 16 52500</t>
  </si>
  <si>
    <t>53 0 16 53800</t>
  </si>
  <si>
    <t>53 0 16 75800</t>
  </si>
  <si>
    <t>53 0 16 75900</t>
  </si>
  <si>
    <t>53 0 16 76000</t>
  </si>
  <si>
    <t>53 0 95 00000</t>
  </si>
  <si>
    <t>53 0 95 49127</t>
  </si>
  <si>
    <t>53 0 04 00000</t>
  </si>
  <si>
    <t>53 0 04 14600</t>
  </si>
  <si>
    <t>53 0 04 20400</t>
  </si>
  <si>
    <t>53 0 04 49000</t>
  </si>
  <si>
    <t>53 0 07 00000</t>
  </si>
  <si>
    <t>53 0 07 79506</t>
  </si>
  <si>
    <t>53 0 16 79501</t>
  </si>
  <si>
    <t>53 0 16 79502</t>
  </si>
  <si>
    <t>53 0 16 79503</t>
  </si>
  <si>
    <t>53 0 16 79504</t>
  </si>
  <si>
    <t>53 0 16 79505</t>
  </si>
  <si>
    <t>53 0 89 00000</t>
  </si>
  <si>
    <t>53 0 89 20400</t>
  </si>
  <si>
    <t>55 0 00 00000</t>
  </si>
  <si>
    <t>55 0 04 00000</t>
  </si>
  <si>
    <t>55 0 04 20400</t>
  </si>
  <si>
    <t>55 0 04 79055</t>
  </si>
  <si>
    <t>55 0 89 00000</t>
  </si>
  <si>
    <t>55 0 89 20400</t>
  </si>
  <si>
    <t>Муниципальная программа "Обеспечение доступным и комфортным жильем граждан Российской Федерации" в Чебаркульском городском округе на 2015 - 2020 годы"</t>
  </si>
  <si>
    <t>57 0 00 00000</t>
  </si>
  <si>
    <t>57 0 04 00000</t>
  </si>
  <si>
    <t>57 0 04 20400</t>
  </si>
  <si>
    <t>57 0 07 00000</t>
  </si>
  <si>
    <t>57 0 07 90020</t>
  </si>
  <si>
    <t>57 0 89 00000</t>
  </si>
  <si>
    <t>57 0 89 20400</t>
  </si>
  <si>
    <t>57 0 89 90020</t>
  </si>
  <si>
    <t>57 0 07 34003</t>
  </si>
  <si>
    <t>Муниципальная программа "Повышение энергетической эффективности экономики МО "Чебаркульский городской округ" и сокращения энергетических издержек в бюджетном секторе на 2010 - 2020 годы"</t>
  </si>
  <si>
    <t>59 0 07 00000</t>
  </si>
  <si>
    <t>59 0 07 79517</t>
  </si>
  <si>
    <t>Капитальный ремонт, ремонт и содержание автомобильных дорог</t>
  </si>
  <si>
    <t>60 0 11 00000</t>
  </si>
  <si>
    <t>60 0 11 78001</t>
  </si>
  <si>
    <t>60 0 11 78002</t>
  </si>
  <si>
    <t>60 0 11 78003</t>
  </si>
  <si>
    <t>60 0 11 78004</t>
  </si>
  <si>
    <t>60 0 11 78005</t>
  </si>
  <si>
    <t>60 0 11 78006</t>
  </si>
  <si>
    <t>63 0 07 00000</t>
  </si>
  <si>
    <t>63 0 07 91000</t>
  </si>
  <si>
    <t>63 0 07 77001</t>
  </si>
  <si>
    <t>63 0 07 77002</t>
  </si>
  <si>
    <t>63 0 07 77003</t>
  </si>
  <si>
    <t>63 0 07 77004</t>
  </si>
  <si>
    <t>63 0 07 77005</t>
  </si>
  <si>
    <t>63 0 04 00000</t>
  </si>
  <si>
    <t>63 0 04 20400</t>
  </si>
  <si>
    <t>63 0 10 00000</t>
  </si>
  <si>
    <t>63 0 10 28200</t>
  </si>
  <si>
    <t>63 0 89 00000</t>
  </si>
  <si>
    <t>63 0 89 20400</t>
  </si>
  <si>
    <t>65 0 10 00000</t>
  </si>
  <si>
    <t>65 0 10 71680</t>
  </si>
  <si>
    <t>65 0 10 80001</t>
  </si>
  <si>
    <t>65 0 07 00000</t>
  </si>
  <si>
    <t>65 0 07 45000</t>
  </si>
  <si>
    <t>65 0 10 80002</t>
  </si>
  <si>
    <t>65 0 10 80003</t>
  </si>
  <si>
    <t>65 0 89 00000</t>
  </si>
  <si>
    <t>65 0 89 80003</t>
  </si>
  <si>
    <t>65 0 89 80004</t>
  </si>
  <si>
    <t>65 0 99 00000</t>
  </si>
  <si>
    <t>65 0 99 80003</t>
  </si>
  <si>
    <t>65 0 99 80004</t>
  </si>
  <si>
    <t>65 0 04 00000</t>
  </si>
  <si>
    <t>65 0 04 20400</t>
  </si>
  <si>
    <t>65 0 89 20400</t>
  </si>
  <si>
    <t>65 0 99 45200</t>
  </si>
  <si>
    <t xml:space="preserve">12 </t>
  </si>
  <si>
    <t>66 0 56 79012</t>
  </si>
  <si>
    <t>99 0 04 28600</t>
  </si>
  <si>
    <t>99 0 04 29700</t>
  </si>
  <si>
    <t>99 0 04 29900</t>
  </si>
  <si>
    <t>99 0 04 59300</t>
  </si>
  <si>
    <t>99 0 04 00092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</si>
  <si>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«О дополнительных мерах социальной поддержки отдельных категорий граждан в Челябинской области» (Закупка товаров, работ и услуг для государственных (муниципальных) нужд)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</si>
  <si>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«О дополнительных мерах социальной поддержки отдельных категорий граждан в Челябинской области» (Социальное обеспечение и иные выплаты населению)</t>
  </si>
  <si>
    <t>Реализация полномочий Российской Федерации по осуществлению ежегодной денежной выплаты лицам, награжденным нагрудным знаком «Почетный донор России»  (Социальное обеспечение и иные выплаты населению)</t>
  </si>
  <si>
    <t>Возмещение стоимости услуг по погребению и выплата социального пособия на погребение в соответствии с Законом Челябинской области «О возмещении стоимости услуг по погребению и выплате социального пособия на погребение» (Социальное обеспечение и иные выплаты населению)</t>
  </si>
  <si>
    <t>Адресная субсидия гражданам в связи с ростом платы за коммунальные услуги (Социальное обеспечение и иные выплаты населению)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</si>
  <si>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   (Социальное обеспечение и иные выплаты населению)</t>
  </si>
  <si>
    <t>Выплата пенсии за выслугу лет лицам, замещавшим должности муниципальной службы (Социальное обеспечение и иные выплаты населению)</t>
  </si>
  <si>
    <t>60 0 11 78007</t>
  </si>
  <si>
    <t>Предоставление гражданам субсидий на оплату жилого помещения и коммунальных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</si>
  <si>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социальных городских мероприятий (Закупка товаров, работ и услуг для государственных (муниципальных) нужд)</t>
  </si>
  <si>
    <t>Профилактические мероприятия по предотвращению распространения наркотиков (Закупка товаров, работ и услуг для государственных (муниципальных) нужд)</t>
  </si>
  <si>
    <t>Субвенция на организацию работы комиссий по делам несовершеннолетних и защите их прав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</si>
  <si>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Субвенция на организацию работы комиссий по делам несовершеннолетних и защите их прав  (Закупка товаров, работ и услуг для государственных (муниципальных) нужд)</t>
  </si>
  <si>
    <t>Развитие туризма и формирование благоприятного имиджа Чебаркульского городского округа (Закупка товаров, работ и услуг для государственных (муниципальных) нужд)</t>
  </si>
  <si>
    <t>Содержание, развитие и поддержка спортивных секций в физкультурно-спортивных организациях, а также секций, отделений и групп для детей с ограниченными возможностями здоровья (Предоставление субсидий бюджетным, автономным учреждениям и иным некоммерческим организациям)</t>
  </si>
  <si>
    <t>Обеспечение доступа к открытым спортивным объектам для свободного пользования и организация и проведение официальных физкультурных (физкультурно-оздоровительных) мероприятий (Предоставление субсидий бюджетным, автономным учреждениям и иным некоммерческим организациям)</t>
  </si>
  <si>
    <t>Ремонт и содержание плоскостных спортивных сооружений (Предоставление субсидий бюджетным, автономным учреждениям и иным некоммерческим организациям)</t>
  </si>
  <si>
    <t>Содержание центров тестирования Всероссийского физкультурно-спортивного комплекса "Готов к труду и обороне" (Предоставление субсидий бюджетным, автономным учреждениям и иным некоммерческим организациям)</t>
  </si>
  <si>
    <t>43 0 10 42300</t>
  </si>
  <si>
    <t>Обеспечение общественного правопорядка при проведении мероприятий с массовым пребыванием граждан (Предоставление субсидий бюджетным, автономным учреждениям и иным некоммерческим организациям)</t>
  </si>
  <si>
    <t>Организация отдыха, оздоровление и временного трудоустройства несовершеннолетних в каникулярное время (Закупка товаров, работ и услуг для государственных (муниципальных) нужд)</t>
  </si>
  <si>
    <t>Распределение бюджетных ассигнований по целевым статьям (муниципальным программам Чебаркульского городского округа и непрограммным направлениям деятельности), группам видов расходов, разделам и подразделам классификации расходов бюджетов на 2017 год</t>
  </si>
  <si>
    <t>Проведение мероприятий в рамках календарного плана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</si>
  <si>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отдыха, оздоровление и временного трудоустройства несовершеннолетних в каникулярное время (Предоставление субсидий бюджетным, автономным учреждениям и иным некоммерческим организациям)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</si>
  <si>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  (Предоставление субсидий бюджетным, автономным учреждениям и иным некоммерческим организациям)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</si>
  <si>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 (Социальное обеспечение и иные выплаты населению)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</si>
  <si>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  (Социальное обеспечение и иные выплаты населению)</t>
  </si>
  <si>
    <t>Мероприятия по повышению доступности и качества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</si>
  <si>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</si>
  <si>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 (Закупка товаров, работ и услуг для государственных (муниципальных) нужд)</t>
  </si>
  <si>
    <t>Организация и осуществление деятельности по опеке и попечительству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</si>
  <si>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открытости и прозрачности бюджетного процесса (Закупка товаров, работ и услуг для государственных (муниципальных) нужд)</t>
  </si>
  <si>
    <t>Проведение мероприятий  по теплоснабжению (Закупка товаров, работ и услуг для государственных (муниципальных) нужд)</t>
  </si>
  <si>
    <t>Текущий ремонт и содержание помещений и имущества, находящихся в муниципальной казне (Закупка товаров, работ и услуг для государственных (муниципальных) нужд)</t>
  </si>
  <si>
    <t>Текущий ремонт и содержание помещений и имущества, находящихся в муниципальной казне (Иные бюджетные ассигнования)</t>
  </si>
  <si>
    <t xml:space="preserve">Муниципальная программа "Развитие малого и среднего предпринимательства в монопрофильном муниципальном образовании Чебаркульский городской округ Челябинской области на 2017-2019 годы" </t>
  </si>
  <si>
    <t>Финансовая поддержка малого и среднего предпринимательства (Иные бюджетные ассигнования)</t>
  </si>
  <si>
    <t>Муниципальная программа "Чистая вода в МО "Чебаркульский городской округ" на 2010 - 2020 годы"</t>
  </si>
  <si>
    <t>Проведение противоаварийных работ  (Предоставление субсидий бюджетным, автономным учреждениям и иным некоммерческим организациям)</t>
  </si>
  <si>
    <t>46 0 20 79521</t>
  </si>
  <si>
    <t>Проведение мероприятий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  (Предоставление субсидий бюджетным, автономным учреждениям и иным некоммерческим организациям)</t>
  </si>
  <si>
    <t>46 0 20 L0275</t>
  </si>
  <si>
    <t>Создание дополнительных мест для детей дошкольного возраста (Предоставление субсидий бюджетным, автономным учреждениям и иным некоммерческим организациям)</t>
  </si>
  <si>
    <t>47 0 20 S1100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</si>
  <si>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дошкольные образовательные организации, через предоставление компенсации части родительской платы (Предоставление субсидий бюджетным, автономным учреждениям и иным некоммерческим организациям)</t>
  </si>
  <si>
    <t>47 0 20 S9900</t>
  </si>
  <si>
    <t>Прочие мероприятия по благоустройству городского округа (Иные бюджетные ассигнования)</t>
  </si>
  <si>
    <t>63 0 55 00000</t>
  </si>
  <si>
    <t>63 0 55 77005</t>
  </si>
  <si>
    <t>Зимнее и летнее содержание дорог, обрезка растительности (кустарников) (Закупка товаров, работ и услуг для государственных (муниципальных) нужд)</t>
  </si>
  <si>
    <t>Оплата электроэнергии светофорных объектов (Закупка товаров, работ и услуг для государственных (муниципальных) нужд)</t>
  </si>
  <si>
    <t>Обслуживание светофорных объектов, обслуживание, замена и установка дорожных знаков (Закупка товаров, работ и услуг для государственных (муниципальных) нужд)</t>
  </si>
  <si>
    <t>Ремонт и замена пешеходных ограждений (Закупка товаров, работ и услуг для государственных (муниципальных) нужд)</t>
  </si>
  <si>
    <t>Разметка у образовательных учреждений (Закупка товаров, работ и услуг для государственных (муниципальных) нужд)</t>
  </si>
  <si>
    <t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 (Закупка товаров, работ и услуг для государственных (муниципальных) нужд)</t>
  </si>
  <si>
    <t>Содержание и текущий ремонт объектов благоустройства (Закупка товаров, работ и услуг для государственных (муниципальных) нужд)</t>
  </si>
  <si>
    <t>Организация освещения улиц (Закупка товаров, работ и услуг для государственных (муниципальных) нужд)</t>
  </si>
  <si>
    <t>Организация озеленения (Закупка товаров, работ и услуг для государственных (муниципальных) нужд)</t>
  </si>
  <si>
    <t>Подпрограмма "Организация содержания мест захоронения" (Закупка товаров, работ и услуг для государственных (муниципальных) нужд)</t>
  </si>
  <si>
    <t>Прочие мероприятия по благоустройству городского округа (Закупка товаров, работ и услуг для государственных (муниципальных) нужд)</t>
  </si>
  <si>
    <t>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  (Предоставление субсидий бюджетным, автономным учреждениям и иным некоммерческим организациям)</t>
  </si>
  <si>
    <t>Обучение учащихся с учетом требований государственных образовательных стандартов дополнительного образования (Предоставление субсидий бюджетным, автономным учреждениям и иным некоммерческим организациям)</t>
  </si>
  <si>
    <t>Организация культурно-досуговых мероприятий и эффективное управление сферой культуры (Закупка товаров, работ и услуг для государственных (муниципальных) нужд)</t>
  </si>
  <si>
    <t>Сохранение и развитие культурно-досуговой сферы (Предоставление субсидий бюджетным, автономным учреждениям и иным некоммерческим организациям)</t>
  </si>
  <si>
    <t>Сохранение историко-культурного наследия (Предоставление субсидий бюджетным, автономным учреждениям и иным некоммерческим организациям)</t>
  </si>
  <si>
    <t>Сохранение историко-культурного наследия (Иные бюджетные ассигнования)</t>
  </si>
  <si>
    <t>Обеспечение доступности информационных ресурсов населению города через библиотечное обслуживание (Иные бюджетные ассигнования)</t>
  </si>
  <si>
    <t>Сохранение историко-культурного наследия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</si>
  <si>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Сохранение историко-культурного наследия (Закупка товаров, работ и услуг для государственных (муниципальных) нужд)</t>
  </si>
  <si>
    <t>Обеспечение доступности информационных ресурсов населению города через библиотечное обслуживание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</si>
  <si>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доступности информационных ресурсов населению города через библиотечное обслуживание (Закупка товаров, работ и услуг для государственных (муниципальных) нужд)</t>
  </si>
  <si>
    <t>Проведение мероприятий с детьми и молодежью  (Предоставление субсидий бюджетным, автономным учреждениям и иным некоммерческим организациям)</t>
  </si>
  <si>
    <t>Руководство и управление в сфере установленных функций органов государственной власти субъектов РФ и органов местного самоуправления(Иные бюджетные ассигнования)</t>
  </si>
  <si>
    <t>Комплектование, учет, использование и хранение архивных документов, отнесенных к государственной собственности Челябинской области  (Закупка товаров, работ и услуг для государственных (муниципальных) нужд)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</si>
  <si>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</si>
  <si>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  (Закупка товаров, работ и услуг для государственных (муниципальных) нужд)</t>
  </si>
  <si>
    <t>Реализация переданных государственных полномочий в области охраны труда  (Закупка товаров, работ и услуг для государственных (муниципальных) нужд)</t>
  </si>
  <si>
    <t>Реализация переданных государственных полномочий в области охраны труда  (Иные бюджетные ассигнования)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</si>
  <si>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 (Закупка товаров, работ и услуг для государственных (муниципальных) нужд)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</si>
  <si>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 (Иные бюджетные ассигнования)</t>
  </si>
  <si>
    <t>Исполнение исполнительных листов (Иные бюджетные ассигнования)</t>
  </si>
  <si>
    <t>2017 год</t>
  </si>
  <si>
    <t>Предоставление гражданам субсидий на оплату жилого помещения и коммунальных услуг (Социальное обеспечение и иные выплаты населению)</t>
  </si>
  <si>
    <t>56 1 15 S0200</t>
  </si>
  <si>
    <t>66 0 56 00000</t>
  </si>
  <si>
    <t>66 0 56 79507</t>
  </si>
  <si>
    <t>66 0 56 79571</t>
  </si>
  <si>
    <t>48 0 07 S3300</t>
  </si>
  <si>
    <t>66 0 07 00000</t>
  </si>
  <si>
    <t>66 0 07 S3300</t>
  </si>
  <si>
    <t>46 0 10 05500</t>
  </si>
  <si>
    <t>46 0 20 04400</t>
  </si>
  <si>
    <t>Организация отдыха детей в каникулярное время (Предоставление субсидий бюджетным, автономным учреждениям и иным некоммерческим организациям)</t>
  </si>
  <si>
    <t>47 0 20 00000</t>
  </si>
  <si>
    <t>47 0 20 01100</t>
  </si>
  <si>
    <t>47 0 20 09900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</si>
  <si>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   (Социальное обеспечение и иные выплаты населению)</t>
  </si>
  <si>
    <t>Создание дополнительных мест для детей дошкольного возраста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 (Предоставление субсидий бюджетным, автономным учреждениям и иным некоммерческим организациям)</t>
  </si>
  <si>
    <t>48 0 07 03300</t>
  </si>
  <si>
    <t>53 0 16 52800</t>
  </si>
  <si>
    <t>Субвенции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  (Социальное обеспечение и иные выплаты населению)</t>
  </si>
  <si>
    <t>53 0 16 R4620</t>
  </si>
  <si>
    <t>Компенсация отдельным категориям граждан оплаты взноса на капитальный ремонт общего имущества в многоквартирном доме  (Социальное обеспечение и иные выплаты населению)</t>
  </si>
  <si>
    <t>56 1 15 R0200</t>
  </si>
  <si>
    <t>Предоставление молодым семьям – участникам подпрограммы социальных выплат на приобретение жилого помещения эконом-класса или создание объекта индивидуального жилищного строительства эконом-класса  (Социальное обеспечение и иные выплаты населению)</t>
  </si>
  <si>
    <t>56 2 07 00050</t>
  </si>
  <si>
    <t>Субсидии на модернизацию, реконструкцию,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ПИР  (Закупка товаров, работ и услуг для государственных (муниципальных) нужд)</t>
  </si>
  <si>
    <t>56 2 07 79515</t>
  </si>
  <si>
    <t>Мероприятия по водоснабжению и водоотведению  (Закупка товаров, работ и услуг для государственных (муниципальных) нужд)</t>
  </si>
  <si>
    <t>56 2 07 S0050</t>
  </si>
  <si>
    <t>Софинансирование расходов на модернизацию, реконструкцию,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ПИР  (Закупка товаров, работ и услуг для государственных (муниципальных) нужд)</t>
  </si>
  <si>
    <t>Мероприятия по электроснабжению (Закупка товаров, работ и услуг для государственных (муниципальных) нужд)</t>
  </si>
  <si>
    <t>60 0 11 78009</t>
  </si>
  <si>
    <t>Ремонт внутриквартальных проездов, гредирование, отсыпка дорог, устройство тротуаров  (Закупка товаров, работ и услуг для государственных (муниципальных) нужд)</t>
  </si>
  <si>
    <t>Ремонт дорог  (Закупка товаров, работ и услуг для государственных (муниципальных) нужд)</t>
  </si>
  <si>
    <t>Мероприятия в рамках программы по оздоровлению экологической обстановки (Предоставление субсидий бюджетным, автономным учреждениям и иным некоммерческим организациям)</t>
  </si>
  <si>
    <t>67 0 00 00000</t>
  </si>
  <si>
    <t>67 0 07 00000</t>
  </si>
  <si>
    <t>67 0 07 R5550</t>
  </si>
  <si>
    <t>Муниципальная программа "Формирование современной городской среды Чебаркульского городского округа" на 2017 год</t>
  </si>
  <si>
    <t>Реализация приоритетного проекта "Формирование комфортной городской среды"  (Закупка товаров, работ и услуг для государственных (муниципальных) нужд)</t>
  </si>
  <si>
    <t>Реализация муниципальных программ развития малого и среднего предпринимательства  (Иные бюджетные ассигнования)</t>
  </si>
  <si>
    <t>49 0 55 R5272</t>
  </si>
  <si>
    <t>56 2 09 79518</t>
  </si>
  <si>
    <t>56 2 09 00040</t>
  </si>
  <si>
    <t>Строительство газопроводов и газовых сетей  (Капитальные вложения в объекты недвижимого имущества государственной (муниципальной) собственности)</t>
  </si>
  <si>
    <t>56 3 09 00000</t>
  </si>
  <si>
    <t>56 3 09 09896</t>
  </si>
  <si>
    <t>Обеспечение мероприятий по переселению граждан из аварийного жилищного фонда и модернизации систем коммунальной инфраструктуры за счет средств бюджетов (Капитальные вложения в объекты недвижимого имущества государственной (муниципальной) собственности)</t>
  </si>
  <si>
    <t>56 2 09 79515</t>
  </si>
  <si>
    <t>Мероприятия по водоснабжению и водоотведению  (Капитальные вложения в объекты недвижимого имущества государственной (муниципальной) собственности)</t>
  </si>
  <si>
    <t>Проведение мероприятий с детьми и молодежью (Предоставление субсидий бюджетным, автономным учреждениям и иным некоммерческим организациям)</t>
  </si>
  <si>
    <t>47 0 09 00000</t>
  </si>
  <si>
    <t>47 0 09 02200</t>
  </si>
  <si>
    <t>47 0 09 S2200</t>
  </si>
  <si>
    <t>Приобретение зданий и помещений для реализации образовательных программ дошкольного образования, расположенных на территории Челябинской области (Капитальные вложения в объекты недвижимого имущества государственной (муниципальной) собственности)</t>
  </si>
  <si>
    <t>Руководство и управление в сфере установленных функций органов государственной власти субъектов РФ и органов местного самоуправления  (Иные бюджетные ассигнования)</t>
  </si>
  <si>
    <t>59 0 07 79519</t>
  </si>
  <si>
    <t>Мероприятия по электроснабжению  (Закупка товаров, работ и услуг для государственных (муниципальных) нужд)</t>
  </si>
  <si>
    <t>Прочие мероприятия по благоустройству городского округа  (Иные бюджетные ассигнования)</t>
  </si>
  <si>
    <t xml:space="preserve">Приложение 1
к решению Собрания депутатов 
Чебаркульского городского округа 
от _28_.12.2017 г. № 447
Приложение 4
к решению Собрания депутатов 
Чебаркульского городского округа 
от 22.12.2016 г. № 244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</si>
</sst>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Narrow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color indexed="8"/>
      <name val="Arial Narrow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8"/>
      <name val="Arial Narrow"/>
      <family val="2"/>
    </font>
    <font>
      <sz val="10"/>
      <name val="Times New Roman"/>
      <family val="1"/>
    </font>
    <font>
      <b/>
      <sz val="8"/>
      <color indexed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4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49" fontId="0" fillId="33" borderId="10" xfId="0" applyNumberFormat="1" applyFont="1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>
      <alignment horizontal="center" textRotation="90" wrapText="1" readingOrder="2"/>
    </xf>
    <xf numFmtId="49" fontId="0" fillId="33" borderId="11" xfId="0" applyNumberFormat="1" applyFont="1" applyFill="1" applyBorder="1" applyAlignment="1">
      <alignment horizontal="left" vertical="center" textRotation="90" wrapText="1" readingOrder="2"/>
    </xf>
    <xf numFmtId="49" fontId="0" fillId="33" borderId="11" xfId="0" applyNumberFormat="1" applyFont="1" applyFill="1" applyBorder="1" applyAlignment="1">
      <alignment horizontal="center" textRotation="90" readingOrder="2"/>
    </xf>
    <xf numFmtId="49" fontId="7" fillId="33" borderId="12" xfId="0" applyNumberFormat="1" applyFont="1" applyFill="1" applyBorder="1" applyAlignment="1">
      <alignment/>
    </xf>
    <xf numFmtId="49" fontId="7" fillId="33" borderId="13" xfId="0" applyNumberFormat="1" applyFont="1" applyFill="1" applyBorder="1" applyAlignment="1">
      <alignment/>
    </xf>
    <xf numFmtId="0" fontId="11" fillId="33" borderId="12" xfId="52" applyNumberFormat="1" applyFont="1" applyFill="1" applyBorder="1" applyAlignment="1">
      <alignment horizontal="left" vertical="center" wrapText="1"/>
      <protection/>
    </xf>
    <xf numFmtId="49" fontId="3" fillId="33" borderId="13" xfId="0" applyNumberFormat="1" applyFont="1" applyFill="1" applyBorder="1" applyAlignment="1">
      <alignment/>
    </xf>
    <xf numFmtId="49" fontId="3" fillId="33" borderId="12" xfId="52" applyNumberFormat="1" applyFont="1" applyFill="1" applyBorder="1" applyAlignment="1">
      <alignment horizontal="left" vertical="center" wrapText="1"/>
      <protection/>
    </xf>
    <xf numFmtId="49" fontId="11" fillId="33" borderId="12" xfId="52" applyNumberFormat="1" applyFont="1" applyFill="1" applyBorder="1" applyAlignment="1">
      <alignment horizontal="left" vertical="center" wrapText="1"/>
      <protection/>
    </xf>
    <xf numFmtId="0" fontId="3" fillId="33" borderId="12" xfId="52" applyNumberFormat="1" applyFont="1" applyFill="1" applyBorder="1" applyAlignment="1">
      <alignment horizontal="left" vertical="center" wrapText="1"/>
      <protection/>
    </xf>
    <xf numFmtId="49" fontId="3" fillId="33" borderId="12" xfId="0" applyNumberFormat="1" applyFont="1" applyFill="1" applyBorder="1" applyAlignment="1">
      <alignment horizontal="left" vertical="center" wrapText="1"/>
    </xf>
    <xf numFmtId="49" fontId="11" fillId="33" borderId="12" xfId="0" applyNumberFormat="1" applyFont="1" applyFill="1" applyBorder="1" applyAlignment="1">
      <alignment wrapText="1"/>
    </xf>
    <xf numFmtId="49" fontId="3" fillId="33" borderId="12" xfId="0" applyNumberFormat="1" applyFont="1" applyFill="1" applyBorder="1" applyAlignment="1">
      <alignment/>
    </xf>
    <xf numFmtId="0" fontId="6" fillId="33" borderId="12" xfId="0" applyFont="1" applyFill="1" applyBorder="1" applyAlignment="1">
      <alignment wrapText="1"/>
    </xf>
    <xf numFmtId="0" fontId="13" fillId="33" borderId="12" xfId="0" applyFont="1" applyFill="1" applyBorder="1" applyAlignment="1">
      <alignment wrapText="1"/>
    </xf>
    <xf numFmtId="0" fontId="3" fillId="33" borderId="12" xfId="0" applyNumberFormat="1" applyFont="1" applyFill="1" applyBorder="1" applyAlignment="1">
      <alignment horizontal="left" vertical="center" wrapText="1"/>
    </xf>
    <xf numFmtId="49" fontId="11" fillId="33" borderId="12" xfId="0" applyNumberFormat="1" applyFont="1" applyFill="1" applyBorder="1" applyAlignment="1">
      <alignment horizontal="left" vertical="center" wrapText="1"/>
    </xf>
    <xf numFmtId="0" fontId="6" fillId="33" borderId="12" xfId="0" applyNumberFormat="1" applyFont="1" applyFill="1" applyBorder="1" applyAlignment="1">
      <alignment wrapText="1"/>
    </xf>
    <xf numFmtId="49" fontId="12" fillId="0" borderId="0" xfId="0" applyNumberFormat="1" applyFont="1" applyBorder="1" applyAlignment="1">
      <alignment horizontal="center" vertical="center" wrapText="1"/>
    </xf>
    <xf numFmtId="4" fontId="16" fillId="0" borderId="0" xfId="0" applyNumberFormat="1" applyFont="1" applyBorder="1" applyAlignment="1">
      <alignment horizontal="right" vertical="center" wrapText="1"/>
    </xf>
    <xf numFmtId="4" fontId="12" fillId="0" borderId="0" xfId="0" applyNumberFormat="1" applyFont="1" applyBorder="1" applyAlignment="1">
      <alignment horizontal="right" vertical="center" wrapText="1"/>
    </xf>
    <xf numFmtId="4" fontId="12" fillId="33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4" fontId="12" fillId="33" borderId="0" xfId="0" applyNumberFormat="1" applyFont="1" applyFill="1" applyBorder="1" applyAlignment="1">
      <alignment vertical="center"/>
    </xf>
    <xf numFmtId="4" fontId="17" fillId="33" borderId="0" xfId="0" applyNumberFormat="1" applyFont="1" applyFill="1" applyBorder="1" applyAlignment="1">
      <alignment horizontal="right" vertical="center" wrapText="1"/>
    </xf>
    <xf numFmtId="4" fontId="17" fillId="0" borderId="0" xfId="0" applyNumberFormat="1" applyFont="1" applyBorder="1" applyAlignment="1">
      <alignment horizontal="right" vertical="center" wrapText="1"/>
    </xf>
    <xf numFmtId="4" fontId="9" fillId="33" borderId="13" xfId="0" applyNumberFormat="1" applyFont="1" applyFill="1" applyBorder="1" applyAlignment="1">
      <alignment/>
    </xf>
    <xf numFmtId="49" fontId="0" fillId="33" borderId="11" xfId="0" applyNumberFormat="1" applyFill="1" applyBorder="1" applyAlignment="1">
      <alignment horizontal="center" vertical="center" wrapText="1"/>
    </xf>
    <xf numFmtId="4" fontId="10" fillId="33" borderId="13" xfId="0" applyNumberFormat="1" applyFont="1" applyFill="1" applyBorder="1" applyAlignment="1">
      <alignment/>
    </xf>
    <xf numFmtId="4" fontId="14" fillId="33" borderId="13" xfId="0" applyNumberFormat="1" applyFont="1" applyFill="1" applyBorder="1" applyAlignment="1">
      <alignment/>
    </xf>
    <xf numFmtId="49" fontId="3" fillId="0" borderId="12" xfId="0" applyNumberFormat="1" applyFont="1" applyBorder="1" applyAlignment="1">
      <alignment horizontal="left" vertical="center" wrapText="1"/>
    </xf>
    <xf numFmtId="4" fontId="18" fillId="33" borderId="13" xfId="0" applyNumberFormat="1" applyFont="1" applyFill="1" applyBorder="1" applyAlignment="1">
      <alignment/>
    </xf>
    <xf numFmtId="49" fontId="11" fillId="33" borderId="13" xfId="0" applyNumberFormat="1" applyFont="1" applyFill="1" applyBorder="1" applyAlignment="1">
      <alignment/>
    </xf>
    <xf numFmtId="49" fontId="0" fillId="33" borderId="11" xfId="0" applyNumberFormat="1" applyFill="1" applyBorder="1" applyAlignment="1">
      <alignment horizontal="center" textRotation="90" readingOrder="2"/>
    </xf>
    <xf numFmtId="0" fontId="0" fillId="33" borderId="0" xfId="0" applyFill="1" applyBorder="1" applyAlignment="1">
      <alignment horizontal="right"/>
    </xf>
    <xf numFmtId="0" fontId="15" fillId="33" borderId="0" xfId="0" applyFont="1" applyFill="1" applyAlignment="1">
      <alignment horizontal="center" wrapText="1"/>
    </xf>
    <xf numFmtId="0" fontId="12" fillId="33" borderId="0" xfId="0" applyFont="1" applyFill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148</xdr:row>
      <xdr:rowOff>0</xdr:rowOff>
    </xdr:from>
    <xdr:to>
      <xdr:col>0</xdr:col>
      <xdr:colOff>219075</xdr:colOff>
      <xdr:row>148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52147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219075</xdr:colOff>
      <xdr:row>148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52147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219075</xdr:colOff>
      <xdr:row>151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31217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152</xdr:row>
      <xdr:rowOff>0</xdr:rowOff>
    </xdr:from>
    <xdr:to>
      <xdr:col>0</xdr:col>
      <xdr:colOff>219075</xdr:colOff>
      <xdr:row>152</xdr:row>
      <xdr:rowOff>142875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122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3"/>
  <sheetViews>
    <sheetView tabSelected="1" zoomScale="110" zoomScaleNormal="110" zoomScaleSheetLayoutView="100" zoomScalePageLayoutView="0" workbookViewId="0" topLeftCell="A1">
      <selection activeCell="B1" sqref="B1:F1"/>
    </sheetView>
  </sheetViews>
  <sheetFormatPr defaultColWidth="9.00390625" defaultRowHeight="12.75"/>
  <cols>
    <col min="1" max="1" width="66.00390625" style="2" customWidth="1"/>
    <col min="2" max="2" width="10.75390625" style="2" customWidth="1"/>
    <col min="3" max="3" width="5.25390625" style="2" customWidth="1"/>
    <col min="4" max="4" width="4.625" style="2" customWidth="1"/>
    <col min="5" max="5" width="5.125" style="2" customWidth="1"/>
    <col min="6" max="6" width="14.00390625" style="2" customWidth="1"/>
    <col min="7" max="7" width="13.75390625" style="0" bestFit="1" customWidth="1"/>
    <col min="8" max="8" width="8.875" style="0" customWidth="1"/>
    <col min="9" max="9" width="14.125" style="0" customWidth="1"/>
    <col min="10" max="10" width="17.25390625" style="0" customWidth="1"/>
    <col min="11" max="12" width="8.875" style="0" customWidth="1"/>
    <col min="13" max="13" width="12.00390625" style="0" customWidth="1"/>
    <col min="14" max="14" width="13.375" style="0" customWidth="1"/>
    <col min="16" max="16" width="11.25390625" style="0" customWidth="1"/>
  </cols>
  <sheetData>
    <row r="1" spans="2:6" ht="106.5" customHeight="1">
      <c r="B1" s="45" t="s">
        <v>521</v>
      </c>
      <c r="C1" s="45"/>
      <c r="D1" s="45"/>
      <c r="E1" s="45"/>
      <c r="F1" s="45"/>
    </row>
    <row r="2" spans="1:6" ht="57.75" customHeight="1">
      <c r="A2" s="44" t="s">
        <v>402</v>
      </c>
      <c r="B2" s="44"/>
      <c r="C2" s="44"/>
      <c r="D2" s="44"/>
      <c r="E2" s="44"/>
      <c r="F2" s="44"/>
    </row>
    <row r="3" spans="1:6" ht="15" customHeight="1" thickBot="1">
      <c r="A3" s="43" t="s">
        <v>45</v>
      </c>
      <c r="B3" s="43"/>
      <c r="C3" s="43"/>
      <c r="D3" s="43"/>
      <c r="E3" s="43"/>
      <c r="F3" s="43"/>
    </row>
    <row r="4" spans="1:6" ht="78" customHeight="1">
      <c r="A4" s="7" t="s">
        <v>27</v>
      </c>
      <c r="B4" s="8" t="s">
        <v>30</v>
      </c>
      <c r="C4" s="10" t="s">
        <v>28</v>
      </c>
      <c r="D4" s="42" t="s">
        <v>29</v>
      </c>
      <c r="E4" s="9" t="s">
        <v>54</v>
      </c>
      <c r="F4" s="36" t="s">
        <v>462</v>
      </c>
    </row>
    <row r="5" spans="1:6" s="1" customFormat="1" ht="12.75">
      <c r="A5" s="11" t="s">
        <v>31</v>
      </c>
      <c r="B5" s="12"/>
      <c r="C5" s="12"/>
      <c r="D5" s="12"/>
      <c r="E5" s="12"/>
      <c r="F5" s="37">
        <f>SUM(F6+F9+F14+F17+F20+F43+F46+F82+F96+F100+F104+F109+F116+F131+F175+F179+F187+F210+F222+F229+F240+F244+F265+F294+F304+F225+F301)</f>
        <v>1050867581.8899997</v>
      </c>
    </row>
    <row r="6" spans="1:6" s="2" customFormat="1" ht="63.75" customHeight="1">
      <c r="A6" s="13" t="s">
        <v>246</v>
      </c>
      <c r="B6" s="41" t="s">
        <v>179</v>
      </c>
      <c r="C6" s="14"/>
      <c r="D6" s="14"/>
      <c r="E6" s="14"/>
      <c r="F6" s="40">
        <f>F7</f>
        <v>150000</v>
      </c>
    </row>
    <row r="7" spans="1:6" s="5" customFormat="1" ht="13.5">
      <c r="A7" s="15" t="s">
        <v>24</v>
      </c>
      <c r="B7" s="14" t="s">
        <v>180</v>
      </c>
      <c r="C7" s="14"/>
      <c r="D7" s="14"/>
      <c r="E7" s="14"/>
      <c r="F7" s="35">
        <f>SUM(F8)</f>
        <v>150000</v>
      </c>
    </row>
    <row r="8" spans="1:6" s="2" customFormat="1" ht="25.5" customHeight="1">
      <c r="A8" s="15" t="s">
        <v>391</v>
      </c>
      <c r="B8" s="14" t="s">
        <v>181</v>
      </c>
      <c r="C8" s="14" t="s">
        <v>33</v>
      </c>
      <c r="D8" s="14" t="s">
        <v>122</v>
      </c>
      <c r="E8" s="14" t="s">
        <v>49</v>
      </c>
      <c r="F8" s="35">
        <v>150000</v>
      </c>
    </row>
    <row r="9" spans="1:6" s="2" customFormat="1" ht="25.5">
      <c r="A9" s="16" t="s">
        <v>247</v>
      </c>
      <c r="B9" s="41" t="s">
        <v>182</v>
      </c>
      <c r="C9" s="14"/>
      <c r="D9" s="14"/>
      <c r="E9" s="14"/>
      <c r="F9" s="40">
        <f>F10</f>
        <v>477025</v>
      </c>
    </row>
    <row r="10" spans="1:7" s="2" customFormat="1" ht="13.5">
      <c r="A10" s="15" t="s">
        <v>60</v>
      </c>
      <c r="B10" s="14" t="s">
        <v>183</v>
      </c>
      <c r="C10" s="14"/>
      <c r="D10" s="14"/>
      <c r="E10" s="14"/>
      <c r="F10" s="35">
        <f>SUM(F11:F13)</f>
        <v>477025</v>
      </c>
      <c r="G10" s="4"/>
    </row>
    <row r="11" spans="1:7" s="2" customFormat="1" ht="51">
      <c r="A11" s="17" t="s">
        <v>65</v>
      </c>
      <c r="B11" s="14" t="s">
        <v>186</v>
      </c>
      <c r="C11" s="14" t="s">
        <v>32</v>
      </c>
      <c r="D11" s="14" t="s">
        <v>35</v>
      </c>
      <c r="E11" s="14" t="s">
        <v>48</v>
      </c>
      <c r="F11" s="35">
        <f>16825+21900</f>
        <v>38725</v>
      </c>
      <c r="G11" s="4"/>
    </row>
    <row r="12" spans="1:6" s="2" customFormat="1" ht="38.25" customHeight="1">
      <c r="A12" s="17" t="s">
        <v>392</v>
      </c>
      <c r="B12" s="14" t="s">
        <v>184</v>
      </c>
      <c r="C12" s="14" t="s">
        <v>32</v>
      </c>
      <c r="D12" s="14" t="s">
        <v>185</v>
      </c>
      <c r="E12" s="14" t="s">
        <v>48</v>
      </c>
      <c r="F12" s="35">
        <f>315131+95169</f>
        <v>410300</v>
      </c>
    </row>
    <row r="13" spans="1:7" s="2" customFormat="1" ht="25.5" customHeight="1">
      <c r="A13" s="15" t="s">
        <v>393</v>
      </c>
      <c r="B13" s="14" t="s">
        <v>184</v>
      </c>
      <c r="C13" s="14" t="s">
        <v>32</v>
      </c>
      <c r="D13" s="14" t="s">
        <v>185</v>
      </c>
      <c r="E13" s="14" t="s">
        <v>49</v>
      </c>
      <c r="F13" s="35">
        <f>7540.37+20459.63</f>
        <v>28000</v>
      </c>
      <c r="G13" s="4"/>
    </row>
    <row r="14" spans="1:6" s="2" customFormat="1" ht="25.5">
      <c r="A14" s="16" t="s">
        <v>248</v>
      </c>
      <c r="B14" s="14" t="s">
        <v>143</v>
      </c>
      <c r="C14" s="14"/>
      <c r="D14" s="14"/>
      <c r="E14" s="14"/>
      <c r="F14" s="40">
        <f>SUM(F15)</f>
        <v>300000</v>
      </c>
    </row>
    <row r="15" spans="1:6" s="2" customFormat="1" ht="38.25" customHeight="1">
      <c r="A15" s="18" t="s">
        <v>153</v>
      </c>
      <c r="B15" s="14" t="s">
        <v>187</v>
      </c>
      <c r="C15" s="14"/>
      <c r="D15" s="14"/>
      <c r="E15" s="14"/>
      <c r="F15" s="35">
        <f>SUM(F16)</f>
        <v>300000</v>
      </c>
    </row>
    <row r="16" spans="1:6" s="2" customFormat="1" ht="27.75" customHeight="1">
      <c r="A16" s="18" t="s">
        <v>72</v>
      </c>
      <c r="B16" s="14" t="s">
        <v>209</v>
      </c>
      <c r="C16" s="14" t="s">
        <v>37</v>
      </c>
      <c r="D16" s="14" t="s">
        <v>37</v>
      </c>
      <c r="E16" s="14" t="s">
        <v>52</v>
      </c>
      <c r="F16" s="35">
        <v>300000</v>
      </c>
    </row>
    <row r="17" spans="1:6" s="2" customFormat="1" ht="25.5" customHeight="1">
      <c r="A17" s="19" t="s">
        <v>250</v>
      </c>
      <c r="B17" s="41" t="s">
        <v>177</v>
      </c>
      <c r="C17" s="14"/>
      <c r="D17" s="14"/>
      <c r="E17" s="14"/>
      <c r="F17" s="40">
        <f>F18</f>
        <v>50000</v>
      </c>
    </row>
    <row r="18" spans="1:6" s="2" customFormat="1" ht="13.5">
      <c r="A18" s="20" t="s">
        <v>24</v>
      </c>
      <c r="B18" s="14" t="s">
        <v>178</v>
      </c>
      <c r="C18" s="14"/>
      <c r="D18" s="14"/>
      <c r="E18" s="14"/>
      <c r="F18" s="35">
        <f>SUM(F19)</f>
        <v>50000</v>
      </c>
    </row>
    <row r="19" spans="1:6" s="2" customFormat="1" ht="28.5" customHeight="1">
      <c r="A19" s="15" t="s">
        <v>394</v>
      </c>
      <c r="B19" s="14" t="s">
        <v>210</v>
      </c>
      <c r="C19" s="14" t="s">
        <v>38</v>
      </c>
      <c r="D19" s="14" t="s">
        <v>32</v>
      </c>
      <c r="E19" s="14" t="s">
        <v>49</v>
      </c>
      <c r="F19" s="35">
        <v>50000</v>
      </c>
    </row>
    <row r="20" spans="1:6" s="2" customFormat="1" ht="34.5" customHeight="1">
      <c r="A20" s="16" t="s">
        <v>249</v>
      </c>
      <c r="B20" s="41" t="s">
        <v>131</v>
      </c>
      <c r="C20" s="14"/>
      <c r="D20" s="14"/>
      <c r="E20" s="14"/>
      <c r="F20" s="40">
        <f>SUM(F21+F24+F28+F31+F39)</f>
        <v>51186803.77</v>
      </c>
    </row>
    <row r="21" spans="1:6" s="2" customFormat="1" ht="14.25" customHeight="1">
      <c r="A21" s="15" t="s">
        <v>60</v>
      </c>
      <c r="B21" s="14" t="s">
        <v>219</v>
      </c>
      <c r="C21" s="14"/>
      <c r="D21" s="14"/>
      <c r="E21" s="14"/>
      <c r="F21" s="35">
        <f>SUM(F22:F23)</f>
        <v>1101356.77</v>
      </c>
    </row>
    <row r="22" spans="1:6" s="3" customFormat="1" ht="50.25" customHeight="1">
      <c r="A22" s="17" t="s">
        <v>65</v>
      </c>
      <c r="B22" s="14" t="s">
        <v>220</v>
      </c>
      <c r="C22" s="14" t="s">
        <v>43</v>
      </c>
      <c r="D22" s="14" t="s">
        <v>40</v>
      </c>
      <c r="E22" s="14" t="s">
        <v>48</v>
      </c>
      <c r="F22" s="35">
        <f>824244.06+265112.71</f>
        <v>1089356.77</v>
      </c>
    </row>
    <row r="23" spans="1:6" s="2" customFormat="1" ht="39" customHeight="1">
      <c r="A23" s="15" t="s">
        <v>66</v>
      </c>
      <c r="B23" s="14" t="s">
        <v>220</v>
      </c>
      <c r="C23" s="14" t="s">
        <v>43</v>
      </c>
      <c r="D23" s="14" t="s">
        <v>40</v>
      </c>
      <c r="E23" s="14" t="s">
        <v>49</v>
      </c>
      <c r="F23" s="35">
        <v>12000</v>
      </c>
    </row>
    <row r="24" spans="1:6" s="2" customFormat="1" ht="13.5">
      <c r="A24" s="21" t="s">
        <v>24</v>
      </c>
      <c r="B24" s="14" t="s">
        <v>212</v>
      </c>
      <c r="C24" s="14"/>
      <c r="D24" s="14"/>
      <c r="E24" s="14"/>
      <c r="F24" s="35">
        <f>SUM(F25:F27)</f>
        <v>768390</v>
      </c>
    </row>
    <row r="25" spans="1:17" s="2" customFormat="1" ht="38.25">
      <c r="A25" s="15" t="s">
        <v>403</v>
      </c>
      <c r="B25" s="14" t="s">
        <v>213</v>
      </c>
      <c r="C25" s="14" t="s">
        <v>43</v>
      </c>
      <c r="D25" s="14" t="s">
        <v>34</v>
      </c>
      <c r="E25" s="14" t="s">
        <v>48</v>
      </c>
      <c r="F25" s="35">
        <v>177506.7</v>
      </c>
      <c r="I25" s="26"/>
      <c r="J25" s="26"/>
      <c r="K25" s="26"/>
      <c r="L25" s="26"/>
      <c r="M25" s="26"/>
      <c r="N25" s="34"/>
      <c r="O25" s="28"/>
      <c r="P25" s="29"/>
      <c r="Q25" s="31"/>
    </row>
    <row r="26" spans="1:17" s="2" customFormat="1" ht="25.5">
      <c r="A26" s="15" t="s">
        <v>163</v>
      </c>
      <c r="B26" s="14" t="s">
        <v>213</v>
      </c>
      <c r="C26" s="14" t="s">
        <v>43</v>
      </c>
      <c r="D26" s="14" t="s">
        <v>34</v>
      </c>
      <c r="E26" s="14" t="s">
        <v>49</v>
      </c>
      <c r="F26" s="35">
        <f>15000+500024.3</f>
        <v>515024.3</v>
      </c>
      <c r="I26" s="26"/>
      <c r="J26" s="26"/>
      <c r="K26" s="26"/>
      <c r="L26" s="26"/>
      <c r="M26" s="26"/>
      <c r="N26" s="34"/>
      <c r="O26" s="28"/>
      <c r="P26" s="29"/>
      <c r="Q26" s="31"/>
    </row>
    <row r="27" spans="1:17" s="2" customFormat="1" ht="18" customHeight="1">
      <c r="A27" s="18" t="s">
        <v>9</v>
      </c>
      <c r="B27" s="14" t="s">
        <v>214</v>
      </c>
      <c r="C27" s="14" t="s">
        <v>43</v>
      </c>
      <c r="D27" s="14" t="s">
        <v>34</v>
      </c>
      <c r="E27" s="14" t="s">
        <v>52</v>
      </c>
      <c r="F27" s="35">
        <v>75859</v>
      </c>
      <c r="I27" s="26"/>
      <c r="J27" s="26"/>
      <c r="K27" s="26"/>
      <c r="L27" s="26"/>
      <c r="M27" s="26"/>
      <c r="N27" s="34"/>
      <c r="O27" s="28"/>
      <c r="P27" s="29"/>
      <c r="Q27" s="31"/>
    </row>
    <row r="28" spans="1:17" s="2" customFormat="1" ht="15" customHeight="1">
      <c r="A28" s="21" t="s">
        <v>47</v>
      </c>
      <c r="B28" s="14" t="s">
        <v>211</v>
      </c>
      <c r="C28" s="14"/>
      <c r="D28" s="14"/>
      <c r="E28" s="14"/>
      <c r="F28" s="35">
        <f>SUM(F29:F30)</f>
        <v>41755720</v>
      </c>
      <c r="I28" s="26"/>
      <c r="J28" s="26"/>
      <c r="K28" s="26"/>
      <c r="L28" s="26"/>
      <c r="M28" s="26"/>
      <c r="N28" s="34"/>
      <c r="O28" s="28"/>
      <c r="P28" s="29"/>
      <c r="Q28" s="31"/>
    </row>
    <row r="29" spans="1:17" s="2" customFormat="1" ht="31.5" customHeight="1">
      <c r="A29" s="21" t="s">
        <v>156</v>
      </c>
      <c r="B29" s="14" t="s">
        <v>399</v>
      </c>
      <c r="C29" s="14" t="s">
        <v>41</v>
      </c>
      <c r="D29" s="14" t="s">
        <v>33</v>
      </c>
      <c r="E29" s="14" t="s">
        <v>53</v>
      </c>
      <c r="F29" s="35">
        <f>11370000+200000+310507+1649213+176000+870000</f>
        <v>14575720</v>
      </c>
      <c r="I29" s="31"/>
      <c r="J29" s="31"/>
      <c r="K29" s="31"/>
      <c r="L29" s="31"/>
      <c r="M29" s="31"/>
      <c r="N29" s="31"/>
      <c r="O29" s="31"/>
      <c r="P29" s="31"/>
      <c r="Q29" s="31"/>
    </row>
    <row r="30" spans="1:6" s="2" customFormat="1" ht="26.25" customHeight="1">
      <c r="A30" s="21" t="s">
        <v>396</v>
      </c>
      <c r="B30" s="14" t="s">
        <v>215</v>
      </c>
      <c r="C30" s="14" t="s">
        <v>43</v>
      </c>
      <c r="D30" s="14" t="s">
        <v>34</v>
      </c>
      <c r="E30" s="14" t="s">
        <v>53</v>
      </c>
      <c r="F30" s="35">
        <v>27180000</v>
      </c>
    </row>
    <row r="31" spans="1:6" s="2" customFormat="1" ht="13.5" customHeight="1">
      <c r="A31" s="21" t="s">
        <v>115</v>
      </c>
      <c r="B31" s="14" t="s">
        <v>216</v>
      </c>
      <c r="C31" s="14"/>
      <c r="D31" s="14"/>
      <c r="E31" s="14"/>
      <c r="F31" s="35">
        <f>SUM(F32:F38)</f>
        <v>4251210</v>
      </c>
    </row>
    <row r="32" spans="1:6" s="2" customFormat="1" ht="27" customHeight="1">
      <c r="A32" s="21" t="s">
        <v>99</v>
      </c>
      <c r="B32" s="14" t="s">
        <v>98</v>
      </c>
      <c r="C32" s="14" t="s">
        <v>43</v>
      </c>
      <c r="D32" s="14" t="s">
        <v>34</v>
      </c>
      <c r="E32" s="14" t="s">
        <v>53</v>
      </c>
      <c r="F32" s="35">
        <v>1891210</v>
      </c>
    </row>
    <row r="33" spans="1:6" s="2" customFormat="1" ht="24.75" customHeight="1">
      <c r="A33" s="21" t="s">
        <v>100</v>
      </c>
      <c r="B33" s="14" t="s">
        <v>98</v>
      </c>
      <c r="C33" s="14" t="s">
        <v>43</v>
      </c>
      <c r="D33" s="14" t="s">
        <v>33</v>
      </c>
      <c r="E33" s="14" t="s">
        <v>53</v>
      </c>
      <c r="F33" s="35">
        <v>500000</v>
      </c>
    </row>
    <row r="34" spans="1:6" s="2" customFormat="1" ht="27" customHeight="1">
      <c r="A34" s="21" t="s">
        <v>397</v>
      </c>
      <c r="B34" s="14" t="s">
        <v>217</v>
      </c>
      <c r="C34" s="14" t="s">
        <v>43</v>
      </c>
      <c r="D34" s="14" t="s">
        <v>34</v>
      </c>
      <c r="E34" s="14" t="s">
        <v>53</v>
      </c>
      <c r="F34" s="35">
        <v>1101000</v>
      </c>
    </row>
    <row r="35" spans="1:6" s="2" customFormat="1" ht="38.25" customHeight="1">
      <c r="A35" s="21" t="s">
        <v>398</v>
      </c>
      <c r="B35" s="14" t="s">
        <v>218</v>
      </c>
      <c r="C35" s="14" t="s">
        <v>43</v>
      </c>
      <c r="D35" s="14" t="s">
        <v>34</v>
      </c>
      <c r="E35" s="14" t="s">
        <v>53</v>
      </c>
      <c r="F35" s="35">
        <v>285000</v>
      </c>
    </row>
    <row r="36" spans="1:6" s="2" customFormat="1" ht="25.5" customHeight="1">
      <c r="A36" s="21" t="s">
        <v>200</v>
      </c>
      <c r="B36" s="14" t="s">
        <v>196</v>
      </c>
      <c r="C36" s="14" t="s">
        <v>43</v>
      </c>
      <c r="D36" s="14" t="s">
        <v>34</v>
      </c>
      <c r="E36" s="14" t="s">
        <v>53</v>
      </c>
      <c r="F36" s="35">
        <v>229000</v>
      </c>
    </row>
    <row r="37" spans="1:6" s="2" customFormat="1" ht="36.75" customHeight="1">
      <c r="A37" s="21" t="s">
        <v>395</v>
      </c>
      <c r="B37" s="14" t="s">
        <v>103</v>
      </c>
      <c r="C37" s="14" t="s">
        <v>43</v>
      </c>
      <c r="D37" s="14" t="s">
        <v>34</v>
      </c>
      <c r="E37" s="14" t="s">
        <v>53</v>
      </c>
      <c r="F37" s="35">
        <v>225000</v>
      </c>
    </row>
    <row r="38" spans="1:6" s="2" customFormat="1" ht="36.75" customHeight="1">
      <c r="A38" s="21" t="s">
        <v>395</v>
      </c>
      <c r="B38" s="14" t="s">
        <v>103</v>
      </c>
      <c r="C38" s="14" t="s">
        <v>43</v>
      </c>
      <c r="D38" s="14" t="s">
        <v>33</v>
      </c>
      <c r="E38" s="14" t="s">
        <v>53</v>
      </c>
      <c r="F38" s="35">
        <v>20000</v>
      </c>
    </row>
    <row r="39" spans="1:6" s="2" customFormat="1" ht="12" customHeight="1">
      <c r="A39" s="20" t="s">
        <v>46</v>
      </c>
      <c r="B39" s="14" t="s">
        <v>221</v>
      </c>
      <c r="C39" s="14"/>
      <c r="D39" s="14"/>
      <c r="E39" s="14"/>
      <c r="F39" s="35">
        <f>SUM(F40:F42)</f>
        <v>3310127</v>
      </c>
    </row>
    <row r="40" spans="1:6" s="2" customFormat="1" ht="51" customHeight="1">
      <c r="A40" s="17" t="s">
        <v>152</v>
      </c>
      <c r="B40" s="14" t="s">
        <v>222</v>
      </c>
      <c r="C40" s="14" t="s">
        <v>43</v>
      </c>
      <c r="D40" s="14" t="s">
        <v>40</v>
      </c>
      <c r="E40" s="14" t="s">
        <v>48</v>
      </c>
      <c r="F40" s="35">
        <f>2365131.35+690+706143.4</f>
        <v>3071964.75</v>
      </c>
    </row>
    <row r="41" spans="1:6" s="2" customFormat="1" ht="42.75" customHeight="1">
      <c r="A41" s="17" t="s">
        <v>154</v>
      </c>
      <c r="B41" s="14" t="s">
        <v>222</v>
      </c>
      <c r="C41" s="14" t="s">
        <v>43</v>
      </c>
      <c r="D41" s="14" t="s">
        <v>40</v>
      </c>
      <c r="E41" s="14" t="s">
        <v>49</v>
      </c>
      <c r="F41" s="35">
        <f>183029.26+53479.58</f>
        <v>236508.84000000003</v>
      </c>
    </row>
    <row r="42" spans="1:6" s="2" customFormat="1" ht="39.75" customHeight="1">
      <c r="A42" s="15" t="s">
        <v>155</v>
      </c>
      <c r="B42" s="14" t="s">
        <v>222</v>
      </c>
      <c r="C42" s="14" t="s">
        <v>43</v>
      </c>
      <c r="D42" s="14" t="s">
        <v>40</v>
      </c>
      <c r="E42" s="14" t="s">
        <v>51</v>
      </c>
      <c r="F42" s="35">
        <f>1653.34+0.07</f>
        <v>1653.4099999999999</v>
      </c>
    </row>
    <row r="43" spans="1:6" s="2" customFormat="1" ht="25.5">
      <c r="A43" s="16" t="s">
        <v>251</v>
      </c>
      <c r="B43" s="41" t="s">
        <v>119</v>
      </c>
      <c r="C43" s="14"/>
      <c r="D43" s="14"/>
      <c r="E43" s="14"/>
      <c r="F43" s="40">
        <f>F44</f>
        <v>200000</v>
      </c>
    </row>
    <row r="44" spans="1:6" s="2" customFormat="1" ht="15" customHeight="1">
      <c r="A44" s="15" t="s">
        <v>142</v>
      </c>
      <c r="B44" s="14" t="s">
        <v>120</v>
      </c>
      <c r="C44" s="14"/>
      <c r="D44" s="14"/>
      <c r="E44" s="14"/>
      <c r="F44" s="35">
        <f>SUM(F45)</f>
        <v>200000</v>
      </c>
    </row>
    <row r="45" spans="1:6" s="2" customFormat="1" ht="27" customHeight="1">
      <c r="A45" s="21" t="s">
        <v>400</v>
      </c>
      <c r="B45" s="14" t="s">
        <v>121</v>
      </c>
      <c r="C45" s="14" t="s">
        <v>33</v>
      </c>
      <c r="D45" s="14" t="s">
        <v>122</v>
      </c>
      <c r="E45" s="14" t="s">
        <v>53</v>
      </c>
      <c r="F45" s="35">
        <v>200000</v>
      </c>
    </row>
    <row r="46" spans="1:6" s="2" customFormat="1" ht="26.25" customHeight="1">
      <c r="A46" s="22" t="s">
        <v>252</v>
      </c>
      <c r="B46" s="41" t="s">
        <v>118</v>
      </c>
      <c r="C46" s="14"/>
      <c r="D46" s="14"/>
      <c r="E46" s="14"/>
      <c r="F46" s="40">
        <f>SUM(F47+F50+F52+F54+F63+F76+F78)</f>
        <v>275036990.40999997</v>
      </c>
    </row>
    <row r="47" spans="1:6" s="2" customFormat="1" ht="13.5">
      <c r="A47" s="15" t="s">
        <v>60</v>
      </c>
      <c r="B47" s="14" t="s">
        <v>233</v>
      </c>
      <c r="C47" s="14"/>
      <c r="D47" s="14"/>
      <c r="E47" s="14"/>
      <c r="F47" s="35">
        <f>SUM(F48:F49)</f>
        <v>2811861</v>
      </c>
    </row>
    <row r="48" spans="1:16" s="2" customFormat="1" ht="51">
      <c r="A48" s="17" t="s">
        <v>65</v>
      </c>
      <c r="B48" s="14" t="s">
        <v>234</v>
      </c>
      <c r="C48" s="14" t="s">
        <v>41</v>
      </c>
      <c r="D48" s="14" t="s">
        <v>37</v>
      </c>
      <c r="E48" s="14" t="s">
        <v>48</v>
      </c>
      <c r="F48" s="35">
        <f>1834599.66+37579.88+553280.34</f>
        <v>2425459.88</v>
      </c>
      <c r="I48" s="26"/>
      <c r="J48" s="26"/>
      <c r="K48" s="26"/>
      <c r="L48" s="26"/>
      <c r="M48" s="26"/>
      <c r="N48" s="33"/>
      <c r="O48" s="29"/>
      <c r="P48" s="29"/>
    </row>
    <row r="49" spans="1:16" s="2" customFormat="1" ht="38.25">
      <c r="A49" s="15" t="s">
        <v>66</v>
      </c>
      <c r="B49" s="14" t="s">
        <v>234</v>
      </c>
      <c r="C49" s="14" t="s">
        <v>41</v>
      </c>
      <c r="D49" s="14" t="s">
        <v>37</v>
      </c>
      <c r="E49" s="14" t="s">
        <v>49</v>
      </c>
      <c r="F49" s="35">
        <f>93420.12+292981</f>
        <v>386401.12</v>
      </c>
      <c r="I49" s="26"/>
      <c r="J49" s="26"/>
      <c r="K49" s="26"/>
      <c r="L49" s="26"/>
      <c r="M49" s="26"/>
      <c r="N49" s="33"/>
      <c r="O49" s="29"/>
      <c r="P49" s="29"/>
    </row>
    <row r="50" spans="1:16" s="2" customFormat="1" ht="13.5">
      <c r="A50" s="23" t="s">
        <v>240</v>
      </c>
      <c r="B50" s="14" t="s">
        <v>241</v>
      </c>
      <c r="C50" s="14"/>
      <c r="D50" s="14"/>
      <c r="E50" s="14"/>
      <c r="F50" s="35">
        <f>SUM(F51)</f>
        <v>2021600</v>
      </c>
      <c r="I50" s="26"/>
      <c r="J50" s="26"/>
      <c r="K50" s="26"/>
      <c r="L50" s="26"/>
      <c r="M50" s="26"/>
      <c r="N50" s="33"/>
      <c r="O50" s="29"/>
      <c r="P50" s="32"/>
    </row>
    <row r="51" spans="1:16" s="2" customFormat="1" ht="38.25">
      <c r="A51" s="18" t="s">
        <v>406</v>
      </c>
      <c r="B51" s="14" t="s">
        <v>242</v>
      </c>
      <c r="C51" s="14" t="s">
        <v>39</v>
      </c>
      <c r="D51" s="14" t="s">
        <v>35</v>
      </c>
      <c r="E51" s="14" t="s">
        <v>52</v>
      </c>
      <c r="F51" s="35">
        <v>2021600</v>
      </c>
      <c r="I51" s="26"/>
      <c r="J51" s="26"/>
      <c r="K51" s="26"/>
      <c r="L51" s="26"/>
      <c r="M51" s="26"/>
      <c r="N51" s="34"/>
      <c r="O51" s="28"/>
      <c r="P51" s="32"/>
    </row>
    <row r="52" spans="1:16" s="2" customFormat="1" ht="13.5">
      <c r="A52" s="18" t="s">
        <v>24</v>
      </c>
      <c r="B52" s="14" t="s">
        <v>107</v>
      </c>
      <c r="C52" s="14"/>
      <c r="D52" s="14"/>
      <c r="E52" s="14"/>
      <c r="F52" s="35">
        <f>SUM(F53)</f>
        <v>75859</v>
      </c>
      <c r="I52" s="26"/>
      <c r="J52" s="26"/>
      <c r="K52" s="26"/>
      <c r="L52" s="26"/>
      <c r="M52" s="26"/>
      <c r="N52" s="34"/>
      <c r="O52" s="28"/>
      <c r="P52" s="32"/>
    </row>
    <row r="53" spans="1:16" s="2" customFormat="1" ht="25.5">
      <c r="A53" s="18" t="s">
        <v>111</v>
      </c>
      <c r="B53" s="14" t="s">
        <v>108</v>
      </c>
      <c r="C53" s="14" t="s">
        <v>41</v>
      </c>
      <c r="D53" s="14" t="s">
        <v>37</v>
      </c>
      <c r="E53" s="14" t="s">
        <v>52</v>
      </c>
      <c r="F53" s="35">
        <f>44249+31610</f>
        <v>75859</v>
      </c>
      <c r="I53" s="26"/>
      <c r="J53" s="26"/>
      <c r="K53" s="26"/>
      <c r="L53" s="26"/>
      <c r="M53" s="26"/>
      <c r="N53" s="34"/>
      <c r="O53" s="28"/>
      <c r="P53" s="32"/>
    </row>
    <row r="54" spans="1:16" s="2" customFormat="1" ht="16.5" customHeight="1">
      <c r="A54" s="21" t="s">
        <v>47</v>
      </c>
      <c r="B54" s="14" t="s">
        <v>223</v>
      </c>
      <c r="C54" s="14"/>
      <c r="D54" s="14"/>
      <c r="E54" s="14"/>
      <c r="F54" s="35">
        <f>SUM(F55:F62)</f>
        <v>235771307</v>
      </c>
      <c r="I54" s="26"/>
      <c r="J54" s="26"/>
      <c r="K54" s="26"/>
      <c r="L54" s="26"/>
      <c r="M54" s="26"/>
      <c r="N54" s="34"/>
      <c r="O54" s="28"/>
      <c r="P54" s="32"/>
    </row>
    <row r="55" spans="1:16" s="2" customFormat="1" ht="40.5" customHeight="1">
      <c r="A55" s="21" t="s">
        <v>132</v>
      </c>
      <c r="B55" s="14" t="s">
        <v>471</v>
      </c>
      <c r="C55" s="14" t="s">
        <v>41</v>
      </c>
      <c r="D55" s="14" t="s">
        <v>34</v>
      </c>
      <c r="E55" s="14" t="s">
        <v>53</v>
      </c>
      <c r="F55" s="35">
        <v>698700</v>
      </c>
      <c r="I55" s="26"/>
      <c r="J55" s="26"/>
      <c r="K55" s="26"/>
      <c r="L55" s="26"/>
      <c r="M55" s="26"/>
      <c r="N55" s="34"/>
      <c r="O55" s="28"/>
      <c r="P55" s="32"/>
    </row>
    <row r="56" spans="1:16" s="2" customFormat="1" ht="25.5">
      <c r="A56" s="21" t="s">
        <v>157</v>
      </c>
      <c r="B56" s="14" t="s">
        <v>224</v>
      </c>
      <c r="C56" s="14" t="s">
        <v>41</v>
      </c>
      <c r="D56" s="14" t="s">
        <v>34</v>
      </c>
      <c r="E56" s="14" t="s">
        <v>53</v>
      </c>
      <c r="F56" s="35">
        <v>41129332</v>
      </c>
      <c r="I56" s="26"/>
      <c r="J56" s="26"/>
      <c r="K56" s="26"/>
      <c r="L56" s="26"/>
      <c r="M56" s="26"/>
      <c r="N56" s="34"/>
      <c r="O56" s="28"/>
      <c r="P56" s="32"/>
    </row>
    <row r="57" spans="1:6" s="2" customFormat="1" ht="25.5">
      <c r="A57" s="21" t="s">
        <v>159</v>
      </c>
      <c r="B57" s="14" t="s">
        <v>229</v>
      </c>
      <c r="C57" s="14" t="s">
        <v>41</v>
      </c>
      <c r="D57" s="14" t="s">
        <v>33</v>
      </c>
      <c r="E57" s="14" t="s">
        <v>53</v>
      </c>
      <c r="F57" s="35">
        <v>15997259</v>
      </c>
    </row>
    <row r="58" spans="1:6" s="2" customFormat="1" ht="25.5">
      <c r="A58" s="21" t="s">
        <v>158</v>
      </c>
      <c r="B58" s="14" t="s">
        <v>228</v>
      </c>
      <c r="C58" s="14" t="s">
        <v>41</v>
      </c>
      <c r="D58" s="14" t="s">
        <v>34</v>
      </c>
      <c r="E58" s="14" t="s">
        <v>53</v>
      </c>
      <c r="F58" s="35">
        <v>4713216</v>
      </c>
    </row>
    <row r="59" spans="1:17" s="2" customFormat="1" ht="51">
      <c r="A59" s="21" t="s">
        <v>405</v>
      </c>
      <c r="B59" s="14" t="s">
        <v>235</v>
      </c>
      <c r="C59" s="14" t="s">
        <v>41</v>
      </c>
      <c r="D59" s="14" t="s">
        <v>37</v>
      </c>
      <c r="E59" s="14" t="s">
        <v>53</v>
      </c>
      <c r="F59" s="35">
        <v>41400</v>
      </c>
      <c r="I59" s="26"/>
      <c r="J59" s="26"/>
      <c r="K59" s="26"/>
      <c r="L59" s="26"/>
      <c r="M59" s="26"/>
      <c r="N59" s="34"/>
      <c r="O59" s="28"/>
      <c r="P59" s="32"/>
      <c r="Q59" s="31"/>
    </row>
    <row r="60" spans="1:6" s="2" customFormat="1" ht="54" customHeight="1">
      <c r="A60" s="21" t="s">
        <v>56</v>
      </c>
      <c r="B60" s="14" t="s">
        <v>225</v>
      </c>
      <c r="C60" s="14" t="s">
        <v>41</v>
      </c>
      <c r="D60" s="14" t="s">
        <v>34</v>
      </c>
      <c r="E60" s="14" t="s">
        <v>53</v>
      </c>
      <c r="F60" s="35">
        <v>16370600</v>
      </c>
    </row>
    <row r="61" spans="1:6" s="2" customFormat="1" ht="51" customHeight="1">
      <c r="A61" s="21" t="s">
        <v>57</v>
      </c>
      <c r="B61" s="14" t="s">
        <v>226</v>
      </c>
      <c r="C61" s="14" t="s">
        <v>41</v>
      </c>
      <c r="D61" s="14" t="s">
        <v>34</v>
      </c>
      <c r="E61" s="14" t="s">
        <v>53</v>
      </c>
      <c r="F61" s="35">
        <v>156015300</v>
      </c>
    </row>
    <row r="62" spans="1:16" s="2" customFormat="1" ht="38.25" customHeight="1">
      <c r="A62" s="21" t="s">
        <v>132</v>
      </c>
      <c r="B62" s="14" t="s">
        <v>227</v>
      </c>
      <c r="C62" s="14" t="s">
        <v>41</v>
      </c>
      <c r="D62" s="14" t="s">
        <v>34</v>
      </c>
      <c r="E62" s="14" t="s">
        <v>53</v>
      </c>
      <c r="F62" s="35">
        <f>667080+138420</f>
        <v>805500</v>
      </c>
      <c r="I62" s="26"/>
      <c r="J62" s="26"/>
      <c r="K62" s="26"/>
      <c r="L62" s="26"/>
      <c r="M62" s="26"/>
      <c r="N62" s="34"/>
      <c r="O62" s="28"/>
      <c r="P62" s="32"/>
    </row>
    <row r="63" spans="1:6" s="2" customFormat="1" ht="13.5">
      <c r="A63" s="21" t="s">
        <v>115</v>
      </c>
      <c r="B63" s="14" t="s">
        <v>230</v>
      </c>
      <c r="C63" s="14"/>
      <c r="D63" s="14"/>
      <c r="E63" s="14"/>
      <c r="F63" s="35">
        <f>SUM(F64:F75)</f>
        <v>18642786.41</v>
      </c>
    </row>
    <row r="64" spans="1:6" s="2" customFormat="1" ht="25.5">
      <c r="A64" s="21" t="s">
        <v>473</v>
      </c>
      <c r="B64" s="14" t="s">
        <v>472</v>
      </c>
      <c r="C64" s="14" t="s">
        <v>41</v>
      </c>
      <c r="D64" s="14" t="s">
        <v>41</v>
      </c>
      <c r="E64" s="14" t="s">
        <v>53</v>
      </c>
      <c r="F64" s="35">
        <v>8914420</v>
      </c>
    </row>
    <row r="65" spans="1:6" s="2" customFormat="1" ht="25.5">
      <c r="A65" s="21" t="s">
        <v>419</v>
      </c>
      <c r="B65" s="14" t="s">
        <v>420</v>
      </c>
      <c r="C65" s="14" t="s">
        <v>41</v>
      </c>
      <c r="D65" s="14" t="s">
        <v>32</v>
      </c>
      <c r="E65" s="14" t="s">
        <v>53</v>
      </c>
      <c r="F65" s="35">
        <v>489108</v>
      </c>
    </row>
    <row r="66" spans="1:6" s="2" customFormat="1" ht="25.5">
      <c r="A66" s="21" t="s">
        <v>419</v>
      </c>
      <c r="B66" s="14" t="s">
        <v>420</v>
      </c>
      <c r="C66" s="14" t="s">
        <v>41</v>
      </c>
      <c r="D66" s="14" t="s">
        <v>34</v>
      </c>
      <c r="E66" s="14" t="s">
        <v>53</v>
      </c>
      <c r="F66" s="35">
        <v>96538</v>
      </c>
    </row>
    <row r="67" spans="1:6" s="2" customFormat="1" ht="25.5">
      <c r="A67" s="21" t="s">
        <v>126</v>
      </c>
      <c r="B67" s="14" t="s">
        <v>232</v>
      </c>
      <c r="C67" s="14" t="s">
        <v>41</v>
      </c>
      <c r="D67" s="14" t="s">
        <v>41</v>
      </c>
      <c r="E67" s="14" t="s">
        <v>53</v>
      </c>
      <c r="F67" s="35">
        <v>320064.4</v>
      </c>
    </row>
    <row r="68" spans="1:6" s="2" customFormat="1" ht="24" customHeight="1">
      <c r="A68" s="21" t="s">
        <v>201</v>
      </c>
      <c r="B68" s="14" t="s">
        <v>192</v>
      </c>
      <c r="C68" s="14" t="s">
        <v>41</v>
      </c>
      <c r="D68" s="14" t="s">
        <v>32</v>
      </c>
      <c r="E68" s="14" t="s">
        <v>53</v>
      </c>
      <c r="F68" s="35">
        <v>420367.84</v>
      </c>
    </row>
    <row r="69" spans="1:6" s="2" customFormat="1" ht="31.5" customHeight="1">
      <c r="A69" s="21" t="s">
        <v>202</v>
      </c>
      <c r="B69" s="14" t="s">
        <v>192</v>
      </c>
      <c r="C69" s="14" t="s">
        <v>41</v>
      </c>
      <c r="D69" s="14" t="s">
        <v>34</v>
      </c>
      <c r="E69" s="14" t="s">
        <v>53</v>
      </c>
      <c r="F69" s="35">
        <v>4528396.17</v>
      </c>
    </row>
    <row r="70" spans="1:6" s="2" customFormat="1" ht="24" customHeight="1">
      <c r="A70" s="21" t="s">
        <v>207</v>
      </c>
      <c r="B70" s="14" t="s">
        <v>206</v>
      </c>
      <c r="C70" s="14" t="s">
        <v>41</v>
      </c>
      <c r="D70" s="14" t="s">
        <v>32</v>
      </c>
      <c r="E70" s="14" t="s">
        <v>53</v>
      </c>
      <c r="F70" s="35">
        <f>100500+7500</f>
        <v>108000</v>
      </c>
    </row>
    <row r="71" spans="1:6" s="2" customFormat="1" ht="24" customHeight="1">
      <c r="A71" s="21" t="s">
        <v>207</v>
      </c>
      <c r="B71" s="14" t="s">
        <v>206</v>
      </c>
      <c r="C71" s="14" t="s">
        <v>41</v>
      </c>
      <c r="D71" s="14" t="s">
        <v>34</v>
      </c>
      <c r="E71" s="14" t="s">
        <v>53</v>
      </c>
      <c r="F71" s="35">
        <f>357560+250000+34000+291990</f>
        <v>933550</v>
      </c>
    </row>
    <row r="72" spans="1:6" s="2" customFormat="1" ht="24" customHeight="1">
      <c r="A72" s="21" t="s">
        <v>207</v>
      </c>
      <c r="B72" s="14" t="s">
        <v>206</v>
      </c>
      <c r="C72" s="14" t="s">
        <v>41</v>
      </c>
      <c r="D72" s="14" t="s">
        <v>33</v>
      </c>
      <c r="E72" s="14" t="s">
        <v>53</v>
      </c>
      <c r="F72" s="35">
        <v>24200</v>
      </c>
    </row>
    <row r="73" spans="1:15" s="2" customFormat="1" ht="67.5" customHeight="1">
      <c r="A73" s="25" t="s">
        <v>421</v>
      </c>
      <c r="B73" s="14" t="s">
        <v>422</v>
      </c>
      <c r="C73" s="14" t="s">
        <v>41</v>
      </c>
      <c r="D73" s="14" t="s">
        <v>32</v>
      </c>
      <c r="E73" s="14" t="s">
        <v>53</v>
      </c>
      <c r="F73" s="35">
        <v>19049</v>
      </c>
      <c r="H73" s="26"/>
      <c r="I73" s="26"/>
      <c r="J73" s="26"/>
      <c r="K73" s="26"/>
      <c r="L73" s="26"/>
      <c r="M73" s="34"/>
      <c r="N73" s="28"/>
      <c r="O73" s="32"/>
    </row>
    <row r="74" spans="1:15" s="2" customFormat="1" ht="26.25" customHeight="1">
      <c r="A74" s="15" t="s">
        <v>401</v>
      </c>
      <c r="B74" s="14" t="s">
        <v>231</v>
      </c>
      <c r="C74" s="14" t="s">
        <v>41</v>
      </c>
      <c r="D74" s="14" t="s">
        <v>41</v>
      </c>
      <c r="E74" s="14" t="s">
        <v>49</v>
      </c>
      <c r="F74" s="35">
        <v>158624.9</v>
      </c>
      <c r="H74" s="26"/>
      <c r="I74" s="26"/>
      <c r="J74" s="26"/>
      <c r="K74" s="26"/>
      <c r="L74" s="26"/>
      <c r="M74" s="34"/>
      <c r="N74" s="28"/>
      <c r="O74" s="32"/>
    </row>
    <row r="75" spans="1:15" s="2" customFormat="1" ht="42" customHeight="1">
      <c r="A75" s="21" t="s">
        <v>404</v>
      </c>
      <c r="B75" s="14" t="s">
        <v>231</v>
      </c>
      <c r="C75" s="14" t="s">
        <v>41</v>
      </c>
      <c r="D75" s="14" t="s">
        <v>41</v>
      </c>
      <c r="E75" s="14" t="s">
        <v>53</v>
      </c>
      <c r="F75" s="35">
        <f>2549744.1+80724</f>
        <v>2630468.1</v>
      </c>
      <c r="H75" s="26"/>
      <c r="I75" s="26"/>
      <c r="J75" s="26"/>
      <c r="K75" s="26"/>
      <c r="L75" s="26"/>
      <c r="M75" s="34"/>
      <c r="N75" s="28"/>
      <c r="O75" s="32"/>
    </row>
    <row r="76" spans="1:15" s="2" customFormat="1" ht="13.5">
      <c r="A76" s="15" t="s">
        <v>50</v>
      </c>
      <c r="B76" s="14" t="s">
        <v>236</v>
      </c>
      <c r="C76" s="14"/>
      <c r="D76" s="14"/>
      <c r="E76" s="14"/>
      <c r="F76" s="35">
        <f>SUM(F77)</f>
        <v>10520</v>
      </c>
      <c r="H76" s="31"/>
      <c r="I76" s="31"/>
      <c r="J76" s="31"/>
      <c r="K76" s="31"/>
      <c r="L76" s="31"/>
      <c r="M76" s="31"/>
      <c r="N76" s="31"/>
      <c r="O76" s="31"/>
    </row>
    <row r="77" spans="1:6" s="2" customFormat="1" ht="34.5" customHeight="1">
      <c r="A77" s="15" t="s">
        <v>155</v>
      </c>
      <c r="B77" s="14" t="s">
        <v>237</v>
      </c>
      <c r="C77" s="14" t="s">
        <v>41</v>
      </c>
      <c r="D77" s="14" t="s">
        <v>37</v>
      </c>
      <c r="E77" s="14" t="s">
        <v>51</v>
      </c>
      <c r="F77" s="35">
        <v>10520</v>
      </c>
    </row>
    <row r="78" spans="1:6" s="2" customFormat="1" ht="13.5">
      <c r="A78" s="20" t="s">
        <v>46</v>
      </c>
      <c r="B78" s="14" t="s">
        <v>238</v>
      </c>
      <c r="C78" s="14"/>
      <c r="D78" s="14"/>
      <c r="E78" s="14"/>
      <c r="F78" s="35">
        <f>SUM(F79:F81)</f>
        <v>15703057</v>
      </c>
    </row>
    <row r="79" spans="1:6" s="2" customFormat="1" ht="50.25" customHeight="1">
      <c r="A79" s="17" t="s">
        <v>152</v>
      </c>
      <c r="B79" s="14" t="s">
        <v>239</v>
      </c>
      <c r="C79" s="14" t="s">
        <v>41</v>
      </c>
      <c r="D79" s="14" t="s">
        <v>37</v>
      </c>
      <c r="E79" s="14" t="s">
        <v>48</v>
      </c>
      <c r="F79" s="35">
        <f>11104024+1375.49+3617276</f>
        <v>14722675.49</v>
      </c>
    </row>
    <row r="80" spans="1:6" s="2" customFormat="1" ht="51">
      <c r="A80" s="17" t="s">
        <v>154</v>
      </c>
      <c r="B80" s="14" t="s">
        <v>239</v>
      </c>
      <c r="C80" s="14" t="s">
        <v>41</v>
      </c>
      <c r="D80" s="14" t="s">
        <v>37</v>
      </c>
      <c r="E80" s="14" t="s">
        <v>49</v>
      </c>
      <c r="F80" s="35">
        <f>386895.1+586913.49</f>
        <v>973808.59</v>
      </c>
    </row>
    <row r="81" spans="1:6" s="2" customFormat="1" ht="38.25">
      <c r="A81" s="15" t="s">
        <v>155</v>
      </c>
      <c r="B81" s="14" t="s">
        <v>239</v>
      </c>
      <c r="C81" s="14" t="s">
        <v>41</v>
      </c>
      <c r="D81" s="14" t="s">
        <v>37</v>
      </c>
      <c r="E81" s="14" t="s">
        <v>51</v>
      </c>
      <c r="F81" s="35">
        <f>6224+348.92</f>
        <v>6572.92</v>
      </c>
    </row>
    <row r="82" spans="1:6" s="2" customFormat="1" ht="25.5">
      <c r="A82" s="24" t="s">
        <v>253</v>
      </c>
      <c r="B82" s="41" t="s">
        <v>116</v>
      </c>
      <c r="C82" s="14"/>
      <c r="D82" s="14"/>
      <c r="E82" s="14"/>
      <c r="F82" s="40">
        <f>F83+F88+F91+F85</f>
        <v>223935393</v>
      </c>
    </row>
    <row r="83" spans="1:6" s="2" customFormat="1" ht="13.5">
      <c r="A83" s="23" t="s">
        <v>240</v>
      </c>
      <c r="B83" s="14" t="s">
        <v>267</v>
      </c>
      <c r="C83" s="14"/>
      <c r="D83" s="14"/>
      <c r="E83" s="14"/>
      <c r="F83" s="35">
        <f>SUM(F84)</f>
        <v>7261600</v>
      </c>
    </row>
    <row r="84" spans="1:6" s="2" customFormat="1" ht="51">
      <c r="A84" s="23" t="s">
        <v>407</v>
      </c>
      <c r="B84" s="14" t="s">
        <v>268</v>
      </c>
      <c r="C84" s="14" t="s">
        <v>39</v>
      </c>
      <c r="D84" s="14" t="s">
        <v>35</v>
      </c>
      <c r="E84" s="14" t="s">
        <v>52</v>
      </c>
      <c r="F84" s="35">
        <v>7261600</v>
      </c>
    </row>
    <row r="85" spans="1:6" s="2" customFormat="1" ht="13.5">
      <c r="A85" s="20" t="s">
        <v>82</v>
      </c>
      <c r="B85" s="14" t="s">
        <v>513</v>
      </c>
      <c r="C85" s="14"/>
      <c r="D85" s="14"/>
      <c r="E85" s="14"/>
      <c r="F85" s="35">
        <f>F86+F87</f>
        <v>24940000</v>
      </c>
    </row>
    <row r="86" spans="1:6" s="2" customFormat="1" ht="38.25">
      <c r="A86" s="23" t="s">
        <v>516</v>
      </c>
      <c r="B86" s="14" t="s">
        <v>514</v>
      </c>
      <c r="C86" s="14" t="s">
        <v>41</v>
      </c>
      <c r="D86" s="14" t="s">
        <v>32</v>
      </c>
      <c r="E86" s="14" t="s">
        <v>86</v>
      </c>
      <c r="F86" s="35">
        <v>24691000</v>
      </c>
    </row>
    <row r="87" spans="1:6" s="2" customFormat="1" ht="38.25">
      <c r="A87" s="23" t="s">
        <v>516</v>
      </c>
      <c r="B87" s="14" t="s">
        <v>515</v>
      </c>
      <c r="C87" s="14" t="s">
        <v>41</v>
      </c>
      <c r="D87" s="14" t="s">
        <v>32</v>
      </c>
      <c r="E87" s="14" t="s">
        <v>86</v>
      </c>
      <c r="F87" s="35">
        <v>249000</v>
      </c>
    </row>
    <row r="88" spans="1:6" s="3" customFormat="1" ht="15.75" customHeight="1">
      <c r="A88" s="21" t="s">
        <v>47</v>
      </c>
      <c r="B88" s="14" t="s">
        <v>243</v>
      </c>
      <c r="C88" s="14"/>
      <c r="D88" s="14"/>
      <c r="E88" s="14"/>
      <c r="F88" s="35">
        <f>SUM(F89:F90)</f>
        <v>189944217</v>
      </c>
    </row>
    <row r="89" spans="1:6" s="3" customFormat="1" ht="40.5" customHeight="1">
      <c r="A89" s="21" t="s">
        <v>55</v>
      </c>
      <c r="B89" s="14" t="s">
        <v>244</v>
      </c>
      <c r="C89" s="14" t="s">
        <v>41</v>
      </c>
      <c r="D89" s="14" t="s">
        <v>32</v>
      </c>
      <c r="E89" s="14" t="s">
        <v>53</v>
      </c>
      <c r="F89" s="35">
        <v>138015500</v>
      </c>
    </row>
    <row r="90" spans="1:6" s="2" customFormat="1" ht="41.25" customHeight="1">
      <c r="A90" s="21" t="s">
        <v>117</v>
      </c>
      <c r="B90" s="14" t="s">
        <v>245</v>
      </c>
      <c r="C90" s="14" t="s">
        <v>41</v>
      </c>
      <c r="D90" s="14" t="s">
        <v>32</v>
      </c>
      <c r="E90" s="14" t="s">
        <v>53</v>
      </c>
      <c r="F90" s="35">
        <v>51928717</v>
      </c>
    </row>
    <row r="91" spans="1:6" s="2" customFormat="1" ht="17.25" customHeight="1">
      <c r="A91" s="21" t="s">
        <v>115</v>
      </c>
      <c r="B91" s="14" t="s">
        <v>474</v>
      </c>
      <c r="C91" s="14"/>
      <c r="D91" s="14"/>
      <c r="E91" s="14"/>
      <c r="F91" s="35">
        <f>F92+F93+F94+F95</f>
        <v>1789576</v>
      </c>
    </row>
    <row r="92" spans="1:6" s="2" customFormat="1" ht="41.25" customHeight="1">
      <c r="A92" s="21" t="s">
        <v>478</v>
      </c>
      <c r="B92" s="14" t="s">
        <v>475</v>
      </c>
      <c r="C92" s="14" t="s">
        <v>41</v>
      </c>
      <c r="D92" s="14" t="s">
        <v>32</v>
      </c>
      <c r="E92" s="14" t="s">
        <v>53</v>
      </c>
      <c r="F92" s="35">
        <v>294100</v>
      </c>
    </row>
    <row r="93" spans="1:6" s="2" customFormat="1" ht="52.5" customHeight="1">
      <c r="A93" s="25" t="s">
        <v>477</v>
      </c>
      <c r="B93" s="14" t="s">
        <v>476</v>
      </c>
      <c r="C93" s="14" t="s">
        <v>39</v>
      </c>
      <c r="D93" s="14" t="s">
        <v>35</v>
      </c>
      <c r="E93" s="14" t="s">
        <v>52</v>
      </c>
      <c r="F93" s="35">
        <v>1346800</v>
      </c>
    </row>
    <row r="94" spans="1:6" s="2" customFormat="1" ht="25.5" customHeight="1">
      <c r="A94" s="21" t="s">
        <v>423</v>
      </c>
      <c r="B94" s="14" t="s">
        <v>424</v>
      </c>
      <c r="C94" s="14" t="s">
        <v>41</v>
      </c>
      <c r="D94" s="14" t="s">
        <v>32</v>
      </c>
      <c r="E94" s="14" t="s">
        <v>53</v>
      </c>
      <c r="F94" s="35">
        <v>32676</v>
      </c>
    </row>
    <row r="95" spans="1:6" s="2" customFormat="1" ht="51" customHeight="1">
      <c r="A95" s="21" t="s">
        <v>425</v>
      </c>
      <c r="B95" s="14" t="s">
        <v>426</v>
      </c>
      <c r="C95" s="14" t="s">
        <v>41</v>
      </c>
      <c r="D95" s="14" t="s">
        <v>32</v>
      </c>
      <c r="E95" s="14" t="s">
        <v>53</v>
      </c>
      <c r="F95" s="35">
        <v>116000</v>
      </c>
    </row>
    <row r="96" spans="1:6" s="2" customFormat="1" ht="13.5">
      <c r="A96" s="24" t="s">
        <v>254</v>
      </c>
      <c r="B96" s="41" t="s">
        <v>80</v>
      </c>
      <c r="C96" s="14"/>
      <c r="D96" s="14"/>
      <c r="E96" s="14"/>
      <c r="F96" s="40">
        <f>SUM(F97)</f>
        <v>397100</v>
      </c>
    </row>
    <row r="97" spans="1:6" s="2" customFormat="1" ht="13.5">
      <c r="A97" s="18" t="s">
        <v>24</v>
      </c>
      <c r="B97" s="14" t="s">
        <v>146</v>
      </c>
      <c r="C97" s="14"/>
      <c r="D97" s="14"/>
      <c r="E97" s="14"/>
      <c r="F97" s="35">
        <f>F98+F99</f>
        <v>397100</v>
      </c>
    </row>
    <row r="98" spans="1:6" s="2" customFormat="1" ht="25.5">
      <c r="A98" s="15" t="s">
        <v>512</v>
      </c>
      <c r="B98" s="14" t="s">
        <v>479</v>
      </c>
      <c r="C98" s="14" t="s">
        <v>41</v>
      </c>
      <c r="D98" s="14" t="s">
        <v>41</v>
      </c>
      <c r="E98" s="14" t="s">
        <v>53</v>
      </c>
      <c r="F98" s="35">
        <v>257100</v>
      </c>
    </row>
    <row r="99" spans="1:6" s="3" customFormat="1" ht="24" customHeight="1">
      <c r="A99" s="15" t="s">
        <v>164</v>
      </c>
      <c r="B99" s="14" t="s">
        <v>468</v>
      </c>
      <c r="C99" s="14" t="s">
        <v>41</v>
      </c>
      <c r="D99" s="14" t="s">
        <v>41</v>
      </c>
      <c r="E99" s="14" t="s">
        <v>49</v>
      </c>
      <c r="F99" s="35">
        <v>140000</v>
      </c>
    </row>
    <row r="100" spans="1:6" s="2" customFormat="1" ht="38.25" customHeight="1">
      <c r="A100" s="16" t="s">
        <v>416</v>
      </c>
      <c r="B100" s="41" t="s">
        <v>77</v>
      </c>
      <c r="C100" s="14"/>
      <c r="D100" s="14"/>
      <c r="E100" s="14"/>
      <c r="F100" s="40">
        <f>F101</f>
        <v>1205714.29</v>
      </c>
    </row>
    <row r="101" spans="1:6" s="2" customFormat="1" ht="28.5" customHeight="1">
      <c r="A101" s="15" t="s">
        <v>76</v>
      </c>
      <c r="B101" s="14" t="s">
        <v>78</v>
      </c>
      <c r="C101" s="14"/>
      <c r="D101" s="14"/>
      <c r="E101" s="14"/>
      <c r="F101" s="35">
        <f>SUM(F102:F103)</f>
        <v>1205714.29</v>
      </c>
    </row>
    <row r="102" spans="1:6" s="2" customFormat="1" ht="18" customHeight="1">
      <c r="A102" s="15" t="s">
        <v>417</v>
      </c>
      <c r="B102" s="14" t="s">
        <v>79</v>
      </c>
      <c r="C102" s="14" t="s">
        <v>35</v>
      </c>
      <c r="D102" s="14" t="s">
        <v>42</v>
      </c>
      <c r="E102" s="14" t="s">
        <v>51</v>
      </c>
      <c r="F102" s="35">
        <v>150000</v>
      </c>
    </row>
    <row r="103" spans="1:6" s="2" customFormat="1" ht="29.25" customHeight="1">
      <c r="A103" s="15" t="s">
        <v>502</v>
      </c>
      <c r="B103" s="14" t="s">
        <v>503</v>
      </c>
      <c r="C103" s="14" t="s">
        <v>35</v>
      </c>
      <c r="D103" s="14" t="s">
        <v>42</v>
      </c>
      <c r="E103" s="14" t="s">
        <v>51</v>
      </c>
      <c r="F103" s="35">
        <v>1055714.29</v>
      </c>
    </row>
    <row r="104" spans="1:16" s="2" customFormat="1" ht="24" customHeight="1">
      <c r="A104" s="24" t="s">
        <v>255</v>
      </c>
      <c r="B104" s="41" t="s">
        <v>73</v>
      </c>
      <c r="C104" s="14"/>
      <c r="D104" s="14"/>
      <c r="E104" s="14"/>
      <c r="F104" s="40">
        <f>F105+F107</f>
        <v>6541592</v>
      </c>
      <c r="H104" s="26"/>
      <c r="I104" s="26"/>
      <c r="J104" s="26"/>
      <c r="K104" s="26"/>
      <c r="L104" s="26"/>
      <c r="M104" s="27"/>
      <c r="N104" s="28"/>
      <c r="O104" s="32"/>
      <c r="P104" s="31"/>
    </row>
    <row r="105" spans="1:16" s="2" customFormat="1" ht="20.25" customHeight="1">
      <c r="A105" s="18" t="s">
        <v>47</v>
      </c>
      <c r="B105" s="14" t="s">
        <v>74</v>
      </c>
      <c r="C105" s="14"/>
      <c r="D105" s="14"/>
      <c r="E105" s="14"/>
      <c r="F105" s="35">
        <f>SUM(F106)</f>
        <v>6350842</v>
      </c>
      <c r="H105" s="26"/>
      <c r="I105" s="26"/>
      <c r="J105" s="26"/>
      <c r="K105" s="26"/>
      <c r="L105" s="26"/>
      <c r="M105" s="26"/>
      <c r="N105" s="27"/>
      <c r="O105" s="28"/>
      <c r="P105" s="29"/>
    </row>
    <row r="106" spans="1:16" s="2" customFormat="1" ht="41.25" customHeight="1">
      <c r="A106" s="21" t="s">
        <v>408</v>
      </c>
      <c r="B106" s="14" t="s">
        <v>75</v>
      </c>
      <c r="C106" s="14" t="s">
        <v>32</v>
      </c>
      <c r="D106" s="14" t="s">
        <v>44</v>
      </c>
      <c r="E106" s="14" t="s">
        <v>53</v>
      </c>
      <c r="F106" s="35">
        <f>6000842+350000</f>
        <v>6350842</v>
      </c>
      <c r="H106" s="31"/>
      <c r="I106" s="31"/>
      <c r="J106" s="31"/>
      <c r="K106" s="31"/>
      <c r="L106" s="31"/>
      <c r="M106" s="31"/>
      <c r="N106" s="31"/>
      <c r="O106" s="31"/>
      <c r="P106" s="31"/>
    </row>
    <row r="107" spans="1:6" s="2" customFormat="1" ht="15.75" customHeight="1">
      <c r="A107" s="21" t="s">
        <v>115</v>
      </c>
      <c r="B107" s="14" t="s">
        <v>188</v>
      </c>
      <c r="C107" s="14"/>
      <c r="D107" s="14"/>
      <c r="E107" s="14"/>
      <c r="F107" s="35">
        <f>F108</f>
        <v>190750</v>
      </c>
    </row>
    <row r="108" spans="1:6" s="2" customFormat="1" ht="43.5" customHeight="1">
      <c r="A108" s="21" t="s">
        <v>408</v>
      </c>
      <c r="B108" s="14" t="s">
        <v>189</v>
      </c>
      <c r="C108" s="14" t="s">
        <v>32</v>
      </c>
      <c r="D108" s="14" t="s">
        <v>44</v>
      </c>
      <c r="E108" s="14" t="s">
        <v>53</v>
      </c>
      <c r="F108" s="35">
        <v>190750</v>
      </c>
    </row>
    <row r="109" spans="1:6" s="2" customFormat="1" ht="36" customHeight="1">
      <c r="A109" s="16" t="s">
        <v>256</v>
      </c>
      <c r="B109" s="41" t="s">
        <v>269</v>
      </c>
      <c r="C109" s="14"/>
      <c r="D109" s="14"/>
      <c r="E109" s="14"/>
      <c r="F109" s="40">
        <f>F110+F112</f>
        <v>6494089</v>
      </c>
    </row>
    <row r="110" spans="1:6" s="2" customFormat="1" ht="13.5">
      <c r="A110" s="15" t="s">
        <v>50</v>
      </c>
      <c r="B110" s="14" t="s">
        <v>270</v>
      </c>
      <c r="C110" s="14"/>
      <c r="D110" s="14"/>
      <c r="E110" s="14"/>
      <c r="F110" s="35">
        <f>SUM(F111)</f>
        <v>10328.35</v>
      </c>
    </row>
    <row r="111" spans="1:6" s="2" customFormat="1" ht="15.75" customHeight="1">
      <c r="A111" s="15" t="s">
        <v>22</v>
      </c>
      <c r="B111" s="14" t="s">
        <v>271</v>
      </c>
      <c r="C111" s="14" t="s">
        <v>33</v>
      </c>
      <c r="D111" s="14" t="s">
        <v>37</v>
      </c>
      <c r="E111" s="14" t="s">
        <v>51</v>
      </c>
      <c r="F111" s="35">
        <v>10328.35</v>
      </c>
    </row>
    <row r="112" spans="1:6" s="2" customFormat="1" ht="13.5">
      <c r="A112" s="18" t="s">
        <v>46</v>
      </c>
      <c r="B112" s="14" t="s">
        <v>272</v>
      </c>
      <c r="C112" s="14"/>
      <c r="D112" s="14"/>
      <c r="E112" s="14"/>
      <c r="F112" s="35">
        <f>SUM(F113:F115)</f>
        <v>6483760.65</v>
      </c>
    </row>
    <row r="113" spans="1:6" s="2" customFormat="1" ht="42" customHeight="1">
      <c r="A113" s="15" t="s">
        <v>150</v>
      </c>
      <c r="B113" s="14" t="s">
        <v>273</v>
      </c>
      <c r="C113" s="14" t="s">
        <v>33</v>
      </c>
      <c r="D113" s="14" t="s">
        <v>37</v>
      </c>
      <c r="E113" s="14" t="s">
        <v>48</v>
      </c>
      <c r="F113" s="35">
        <f>3902627+8368+1173594</f>
        <v>5084589</v>
      </c>
    </row>
    <row r="114" spans="1:6" s="2" customFormat="1" ht="25.5">
      <c r="A114" s="15" t="s">
        <v>26</v>
      </c>
      <c r="B114" s="14" t="s">
        <v>273</v>
      </c>
      <c r="C114" s="14" t="s">
        <v>33</v>
      </c>
      <c r="D114" s="14" t="s">
        <v>37</v>
      </c>
      <c r="E114" s="14" t="s">
        <v>49</v>
      </c>
      <c r="F114" s="35">
        <f>474007.75+909912.74-132</f>
        <v>1383788.49</v>
      </c>
    </row>
    <row r="115" spans="1:6" s="2" customFormat="1" ht="13.5">
      <c r="A115" s="15" t="s">
        <v>22</v>
      </c>
      <c r="B115" s="14" t="s">
        <v>273</v>
      </c>
      <c r="C115" s="14" t="s">
        <v>33</v>
      </c>
      <c r="D115" s="14" t="s">
        <v>37</v>
      </c>
      <c r="E115" s="14" t="s">
        <v>51</v>
      </c>
      <c r="F115" s="35">
        <f>2536.51+2393.1+10453.55</f>
        <v>15383.16</v>
      </c>
    </row>
    <row r="116" spans="1:6" s="2" customFormat="1" ht="13.5">
      <c r="A116" s="24" t="s">
        <v>257</v>
      </c>
      <c r="B116" s="41" t="s">
        <v>139</v>
      </c>
      <c r="C116" s="14"/>
      <c r="D116" s="14"/>
      <c r="E116" s="14"/>
      <c r="F116" s="40">
        <f>SUM(F117+F120+F122+F127)</f>
        <v>49081400</v>
      </c>
    </row>
    <row r="117" spans="1:6" s="2" customFormat="1" ht="13.5">
      <c r="A117" s="15" t="s">
        <v>60</v>
      </c>
      <c r="B117" s="14" t="s">
        <v>278</v>
      </c>
      <c r="C117" s="14"/>
      <c r="D117" s="14"/>
      <c r="E117" s="14"/>
      <c r="F117" s="35">
        <f>SUM(F118:F119)</f>
        <v>1345500</v>
      </c>
    </row>
    <row r="118" spans="1:6" s="2" customFormat="1" ht="38.25" customHeight="1">
      <c r="A118" s="17" t="s">
        <v>411</v>
      </c>
      <c r="B118" s="14" t="s">
        <v>279</v>
      </c>
      <c r="C118" s="14" t="s">
        <v>39</v>
      </c>
      <c r="D118" s="14" t="s">
        <v>36</v>
      </c>
      <c r="E118" s="14" t="s">
        <v>48</v>
      </c>
      <c r="F118" s="35">
        <f>950442.55+264257.45</f>
        <v>1214700</v>
      </c>
    </row>
    <row r="119" spans="1:6" s="2" customFormat="1" ht="26.25" customHeight="1">
      <c r="A119" s="15" t="s">
        <v>162</v>
      </c>
      <c r="B119" s="14" t="s">
        <v>279</v>
      </c>
      <c r="C119" s="14" t="s">
        <v>39</v>
      </c>
      <c r="D119" s="14" t="s">
        <v>36</v>
      </c>
      <c r="E119" s="14" t="s">
        <v>49</v>
      </c>
      <c r="F119" s="35">
        <v>130800</v>
      </c>
    </row>
    <row r="120" spans="1:6" s="2" customFormat="1" ht="12.75" customHeight="1">
      <c r="A120" s="18" t="s">
        <v>94</v>
      </c>
      <c r="B120" s="14" t="s">
        <v>280</v>
      </c>
      <c r="C120" s="14"/>
      <c r="D120" s="14"/>
      <c r="E120" s="14"/>
      <c r="F120" s="35">
        <f>SUM(F121)</f>
        <v>8888850</v>
      </c>
    </row>
    <row r="121" spans="1:6" s="2" customFormat="1" ht="36" customHeight="1">
      <c r="A121" s="23" t="s">
        <v>2</v>
      </c>
      <c r="B121" s="14" t="s">
        <v>281</v>
      </c>
      <c r="C121" s="14" t="s">
        <v>39</v>
      </c>
      <c r="D121" s="14" t="s">
        <v>35</v>
      </c>
      <c r="E121" s="14" t="s">
        <v>52</v>
      </c>
      <c r="F121" s="35">
        <v>8888850</v>
      </c>
    </row>
    <row r="122" spans="1:6" s="2" customFormat="1" ht="15" customHeight="1">
      <c r="A122" s="15" t="s">
        <v>138</v>
      </c>
      <c r="B122" s="14" t="s">
        <v>140</v>
      </c>
      <c r="C122" s="14"/>
      <c r="D122" s="14"/>
      <c r="E122" s="14"/>
      <c r="F122" s="35">
        <f>SUM(F123:F126)</f>
        <v>16178100</v>
      </c>
    </row>
    <row r="123" spans="1:6" s="3" customFormat="1" ht="36" customHeight="1">
      <c r="A123" s="18" t="s">
        <v>3</v>
      </c>
      <c r="B123" s="14" t="s">
        <v>276</v>
      </c>
      <c r="C123" s="14" t="s">
        <v>39</v>
      </c>
      <c r="D123" s="14" t="s">
        <v>35</v>
      </c>
      <c r="E123" s="14" t="s">
        <v>52</v>
      </c>
      <c r="F123" s="35">
        <v>4181300</v>
      </c>
    </row>
    <row r="124" spans="1:6" s="2" customFormat="1" ht="60" customHeight="1">
      <c r="A124" s="23" t="s">
        <v>6</v>
      </c>
      <c r="B124" s="14" t="s">
        <v>277</v>
      </c>
      <c r="C124" s="14" t="s">
        <v>39</v>
      </c>
      <c r="D124" s="14" t="s">
        <v>35</v>
      </c>
      <c r="E124" s="14" t="s">
        <v>52</v>
      </c>
      <c r="F124" s="35">
        <v>11696800</v>
      </c>
    </row>
    <row r="125" spans="1:6" s="6" customFormat="1" ht="25.5">
      <c r="A125" s="15" t="s">
        <v>165</v>
      </c>
      <c r="B125" s="14" t="s">
        <v>141</v>
      </c>
      <c r="C125" s="14" t="s">
        <v>39</v>
      </c>
      <c r="D125" s="14" t="s">
        <v>36</v>
      </c>
      <c r="E125" s="14" t="s">
        <v>49</v>
      </c>
      <c r="F125" s="35">
        <v>250200</v>
      </c>
    </row>
    <row r="126" spans="1:6" s="2" customFormat="1" ht="25.5">
      <c r="A126" s="18" t="s">
        <v>10</v>
      </c>
      <c r="B126" s="14" t="s">
        <v>141</v>
      </c>
      <c r="C126" s="14" t="s">
        <v>39</v>
      </c>
      <c r="D126" s="14" t="s">
        <v>36</v>
      </c>
      <c r="E126" s="14" t="s">
        <v>52</v>
      </c>
      <c r="F126" s="35">
        <v>49800</v>
      </c>
    </row>
    <row r="127" spans="1:6" s="2" customFormat="1" ht="13.5">
      <c r="A127" s="20" t="s">
        <v>46</v>
      </c>
      <c r="B127" s="14" t="s">
        <v>274</v>
      </c>
      <c r="C127" s="14"/>
      <c r="D127" s="14"/>
      <c r="E127" s="14"/>
      <c r="F127" s="35">
        <f>SUM(F128:F130)</f>
        <v>22668950</v>
      </c>
    </row>
    <row r="128" spans="1:6" s="2" customFormat="1" ht="59.25" customHeight="1">
      <c r="A128" s="17" t="s">
        <v>409</v>
      </c>
      <c r="B128" s="14" t="s">
        <v>275</v>
      </c>
      <c r="C128" s="14" t="s">
        <v>41</v>
      </c>
      <c r="D128" s="14" t="s">
        <v>34</v>
      </c>
      <c r="E128" s="14" t="s">
        <v>48</v>
      </c>
      <c r="F128" s="35">
        <f>12630412.27+1850.81+3864994.36</f>
        <v>16497257.44</v>
      </c>
    </row>
    <row r="129" spans="1:6" s="2" customFormat="1" ht="38.25">
      <c r="A129" s="15" t="s">
        <v>410</v>
      </c>
      <c r="B129" s="14" t="s">
        <v>275</v>
      </c>
      <c r="C129" s="14" t="s">
        <v>41</v>
      </c>
      <c r="D129" s="14" t="s">
        <v>34</v>
      </c>
      <c r="E129" s="14" t="s">
        <v>49</v>
      </c>
      <c r="F129" s="35">
        <f>560279.67+5099850.61</f>
        <v>5660130.28</v>
      </c>
    </row>
    <row r="130" spans="1:6" s="2" customFormat="1" ht="38.25">
      <c r="A130" s="15" t="s">
        <v>16</v>
      </c>
      <c r="B130" s="14" t="s">
        <v>275</v>
      </c>
      <c r="C130" s="14" t="s">
        <v>41</v>
      </c>
      <c r="D130" s="14" t="s">
        <v>34</v>
      </c>
      <c r="E130" s="14" t="s">
        <v>51</v>
      </c>
      <c r="F130" s="35">
        <f>496326+12019.07+3217.21</f>
        <v>511562.28</v>
      </c>
    </row>
    <row r="131" spans="1:6" s="2" customFormat="1" ht="25.5">
      <c r="A131" s="16" t="s">
        <v>258</v>
      </c>
      <c r="B131" s="41" t="s">
        <v>137</v>
      </c>
      <c r="C131" s="14"/>
      <c r="D131" s="14"/>
      <c r="E131" s="14"/>
      <c r="F131" s="40">
        <f>SUM(F132+F140+F142+F144+F171+F173)</f>
        <v>184682995</v>
      </c>
    </row>
    <row r="132" spans="1:6" s="2" customFormat="1" ht="13.5">
      <c r="A132" s="15" t="s">
        <v>60</v>
      </c>
      <c r="B132" s="14" t="s">
        <v>304</v>
      </c>
      <c r="C132" s="14"/>
      <c r="D132" s="14"/>
      <c r="E132" s="14"/>
      <c r="F132" s="35">
        <f>SUM(F133:F139)</f>
        <v>12473900</v>
      </c>
    </row>
    <row r="133" spans="1:6" s="2" customFormat="1" ht="51">
      <c r="A133" s="17" t="s">
        <v>147</v>
      </c>
      <c r="B133" s="14" t="s">
        <v>305</v>
      </c>
      <c r="C133" s="14" t="s">
        <v>39</v>
      </c>
      <c r="D133" s="14" t="s">
        <v>36</v>
      </c>
      <c r="E133" s="14" t="s">
        <v>48</v>
      </c>
      <c r="F133" s="35">
        <f>5699510.25+1355.75+1719834</f>
        <v>7420700</v>
      </c>
    </row>
    <row r="134" spans="1:6" s="2" customFormat="1" ht="25.5">
      <c r="A134" s="15" t="s">
        <v>167</v>
      </c>
      <c r="B134" s="14" t="s">
        <v>305</v>
      </c>
      <c r="C134" s="14" t="s">
        <v>39</v>
      </c>
      <c r="D134" s="14" t="s">
        <v>36</v>
      </c>
      <c r="E134" s="14" t="s">
        <v>49</v>
      </c>
      <c r="F134" s="35">
        <f>597259.83+625058.44</f>
        <v>1222318.27</v>
      </c>
    </row>
    <row r="135" spans="1:6" s="2" customFormat="1" ht="25.5">
      <c r="A135" s="15" t="s">
        <v>17</v>
      </c>
      <c r="B135" s="14" t="s">
        <v>305</v>
      </c>
      <c r="C135" s="14" t="s">
        <v>39</v>
      </c>
      <c r="D135" s="14" t="s">
        <v>36</v>
      </c>
      <c r="E135" s="14" t="s">
        <v>51</v>
      </c>
      <c r="F135" s="35">
        <v>3881.73</v>
      </c>
    </row>
    <row r="136" spans="1:6" s="2" customFormat="1" ht="51">
      <c r="A136" s="17" t="s">
        <v>65</v>
      </c>
      <c r="B136" s="14" t="s">
        <v>306</v>
      </c>
      <c r="C136" s="14" t="s">
        <v>39</v>
      </c>
      <c r="D136" s="14" t="s">
        <v>36</v>
      </c>
      <c r="E136" s="14" t="s">
        <v>48</v>
      </c>
      <c r="F136" s="35">
        <f>1550000+465300</f>
        <v>2015300</v>
      </c>
    </row>
    <row r="137" spans="1:6" s="2" customFormat="1" ht="37.5" customHeight="1">
      <c r="A137" s="17" t="s">
        <v>66</v>
      </c>
      <c r="B137" s="14" t="s">
        <v>306</v>
      </c>
      <c r="C137" s="14" t="s">
        <v>39</v>
      </c>
      <c r="D137" s="14" t="s">
        <v>36</v>
      </c>
      <c r="E137" s="14" t="s">
        <v>49</v>
      </c>
      <c r="F137" s="35">
        <v>75000</v>
      </c>
    </row>
    <row r="138" spans="1:6" s="2" customFormat="1" ht="51">
      <c r="A138" s="17" t="s">
        <v>389</v>
      </c>
      <c r="B138" s="14" t="s">
        <v>307</v>
      </c>
      <c r="C138" s="14" t="s">
        <v>39</v>
      </c>
      <c r="D138" s="14" t="s">
        <v>36</v>
      </c>
      <c r="E138" s="14" t="s">
        <v>48</v>
      </c>
      <c r="F138" s="35">
        <f>1128390+340710</f>
        <v>1469100</v>
      </c>
    </row>
    <row r="139" spans="1:6" s="2" customFormat="1" ht="25.5">
      <c r="A139" s="15" t="s">
        <v>168</v>
      </c>
      <c r="B139" s="14" t="s">
        <v>307</v>
      </c>
      <c r="C139" s="14" t="s">
        <v>39</v>
      </c>
      <c r="D139" s="14" t="s">
        <v>36</v>
      </c>
      <c r="E139" s="14" t="s">
        <v>49</v>
      </c>
      <c r="F139" s="35">
        <f>72549+195051</f>
        <v>267600</v>
      </c>
    </row>
    <row r="140" spans="1:6" s="2" customFormat="1" ht="13.5">
      <c r="A140" s="21" t="s">
        <v>24</v>
      </c>
      <c r="B140" s="14" t="s">
        <v>308</v>
      </c>
      <c r="C140" s="14"/>
      <c r="D140" s="14"/>
      <c r="E140" s="14"/>
      <c r="F140" s="35">
        <f>SUM(F141)</f>
        <v>70000</v>
      </c>
    </row>
    <row r="141" spans="1:6" s="2" customFormat="1" ht="25.5">
      <c r="A141" s="15" t="s">
        <v>390</v>
      </c>
      <c r="B141" s="14" t="s">
        <v>309</v>
      </c>
      <c r="C141" s="14" t="s">
        <v>39</v>
      </c>
      <c r="D141" s="14" t="s">
        <v>36</v>
      </c>
      <c r="E141" s="14" t="s">
        <v>49</v>
      </c>
      <c r="F141" s="35">
        <v>70000</v>
      </c>
    </row>
    <row r="142" spans="1:6" s="2" customFormat="1" ht="19.5" customHeight="1">
      <c r="A142" s="21" t="s">
        <v>47</v>
      </c>
      <c r="B142" s="14" t="s">
        <v>282</v>
      </c>
      <c r="C142" s="14"/>
      <c r="D142" s="14"/>
      <c r="E142" s="14"/>
      <c r="F142" s="35">
        <f>SUM(F143)</f>
        <v>13239020</v>
      </c>
    </row>
    <row r="143" spans="1:6" s="2" customFormat="1" ht="45.75" customHeight="1">
      <c r="A143" s="15" t="s">
        <v>160</v>
      </c>
      <c r="B143" s="14" t="s">
        <v>283</v>
      </c>
      <c r="C143" s="14" t="s">
        <v>39</v>
      </c>
      <c r="D143" s="14" t="s">
        <v>34</v>
      </c>
      <c r="E143" s="14" t="s">
        <v>53</v>
      </c>
      <c r="F143" s="35">
        <v>13239020</v>
      </c>
    </row>
    <row r="144" spans="1:6" s="2" customFormat="1" ht="13.5">
      <c r="A144" s="15" t="s">
        <v>138</v>
      </c>
      <c r="B144" s="14" t="s">
        <v>284</v>
      </c>
      <c r="C144" s="14"/>
      <c r="D144" s="14"/>
      <c r="E144" s="14"/>
      <c r="F144" s="35">
        <f>SUM(F145:F170)</f>
        <v>153152700</v>
      </c>
    </row>
    <row r="145" spans="1:6" s="2" customFormat="1" ht="27.75" customHeight="1">
      <c r="A145" s="18" t="s">
        <v>170</v>
      </c>
      <c r="B145" s="14" t="s">
        <v>285</v>
      </c>
      <c r="C145" s="14" t="s">
        <v>39</v>
      </c>
      <c r="D145" s="14" t="s">
        <v>33</v>
      </c>
      <c r="E145" s="14" t="s">
        <v>52</v>
      </c>
      <c r="F145" s="35">
        <v>40223200</v>
      </c>
    </row>
    <row r="146" spans="1:6" s="2" customFormat="1" ht="41.25" customHeight="1">
      <c r="A146" s="18" t="s">
        <v>171</v>
      </c>
      <c r="B146" s="14" t="s">
        <v>286</v>
      </c>
      <c r="C146" s="14" t="s">
        <v>39</v>
      </c>
      <c r="D146" s="14" t="s">
        <v>33</v>
      </c>
      <c r="E146" s="14" t="s">
        <v>52</v>
      </c>
      <c r="F146" s="35">
        <v>2030100</v>
      </c>
    </row>
    <row r="147" spans="1:6" s="2" customFormat="1" ht="25.5">
      <c r="A147" s="18" t="s">
        <v>172</v>
      </c>
      <c r="B147" s="14" t="s">
        <v>287</v>
      </c>
      <c r="C147" s="14" t="s">
        <v>39</v>
      </c>
      <c r="D147" s="14" t="s">
        <v>33</v>
      </c>
      <c r="E147" s="14" t="s">
        <v>52</v>
      </c>
      <c r="F147" s="35">
        <v>27592700</v>
      </c>
    </row>
    <row r="148" spans="1:6" s="2" customFormat="1" ht="38.25">
      <c r="A148" s="18" t="s">
        <v>0</v>
      </c>
      <c r="B148" s="14" t="s">
        <v>288</v>
      </c>
      <c r="C148" s="14" t="s">
        <v>39</v>
      </c>
      <c r="D148" s="14" t="s">
        <v>33</v>
      </c>
      <c r="E148" s="14" t="s">
        <v>52</v>
      </c>
      <c r="F148" s="35">
        <v>187800</v>
      </c>
    </row>
    <row r="149" spans="1:6" s="2" customFormat="1" ht="38.25">
      <c r="A149" s="18" t="s">
        <v>1</v>
      </c>
      <c r="B149" s="14" t="s">
        <v>289</v>
      </c>
      <c r="C149" s="14" t="s">
        <v>39</v>
      </c>
      <c r="D149" s="14" t="s">
        <v>33</v>
      </c>
      <c r="E149" s="14" t="s">
        <v>52</v>
      </c>
      <c r="F149" s="35">
        <v>31000</v>
      </c>
    </row>
    <row r="150" spans="1:6" s="5" customFormat="1" ht="52.5" customHeight="1">
      <c r="A150" s="17" t="s">
        <v>381</v>
      </c>
      <c r="B150" s="14" t="s">
        <v>290</v>
      </c>
      <c r="C150" s="14" t="s">
        <v>39</v>
      </c>
      <c r="D150" s="14" t="s">
        <v>33</v>
      </c>
      <c r="E150" s="14" t="s">
        <v>49</v>
      </c>
      <c r="F150" s="35">
        <v>45000</v>
      </c>
    </row>
    <row r="151" spans="1:6" s="2" customFormat="1" ht="50.25" customHeight="1">
      <c r="A151" s="23" t="s">
        <v>382</v>
      </c>
      <c r="B151" s="14" t="s">
        <v>290</v>
      </c>
      <c r="C151" s="14" t="s">
        <v>39</v>
      </c>
      <c r="D151" s="14" t="s">
        <v>33</v>
      </c>
      <c r="E151" s="14" t="s">
        <v>52</v>
      </c>
      <c r="F151" s="35">
        <f>416000+38000</f>
        <v>454000</v>
      </c>
    </row>
    <row r="152" spans="1:6" s="2" customFormat="1" ht="31.5" customHeight="1">
      <c r="A152" s="18" t="s">
        <v>4</v>
      </c>
      <c r="B152" s="14" t="s">
        <v>291</v>
      </c>
      <c r="C152" s="14" t="s">
        <v>39</v>
      </c>
      <c r="D152" s="14" t="s">
        <v>33</v>
      </c>
      <c r="E152" s="14" t="s">
        <v>52</v>
      </c>
      <c r="F152" s="35">
        <v>9548600</v>
      </c>
    </row>
    <row r="153" spans="1:6" s="2" customFormat="1" ht="36.75" customHeight="1">
      <c r="A153" s="18" t="s">
        <v>5</v>
      </c>
      <c r="B153" s="14" t="s">
        <v>292</v>
      </c>
      <c r="C153" s="14" t="s">
        <v>39</v>
      </c>
      <c r="D153" s="14" t="s">
        <v>33</v>
      </c>
      <c r="E153" s="14" t="s">
        <v>52</v>
      </c>
      <c r="F153" s="35">
        <v>1048700</v>
      </c>
    </row>
    <row r="154" spans="1:6" s="3" customFormat="1" ht="36.75" customHeight="1">
      <c r="A154" s="23" t="s">
        <v>7</v>
      </c>
      <c r="B154" s="14" t="s">
        <v>293</v>
      </c>
      <c r="C154" s="14" t="s">
        <v>39</v>
      </c>
      <c r="D154" s="14" t="s">
        <v>33</v>
      </c>
      <c r="E154" s="14" t="s">
        <v>52</v>
      </c>
      <c r="F154" s="35">
        <v>2294200</v>
      </c>
    </row>
    <row r="155" spans="1:6" s="2" customFormat="1" ht="27" customHeight="1">
      <c r="A155" s="18" t="s">
        <v>463</v>
      </c>
      <c r="B155" s="14" t="s">
        <v>294</v>
      </c>
      <c r="C155" s="14" t="s">
        <v>39</v>
      </c>
      <c r="D155" s="14" t="s">
        <v>33</v>
      </c>
      <c r="E155" s="14" t="s">
        <v>52</v>
      </c>
      <c r="F155" s="35">
        <v>19600000</v>
      </c>
    </row>
    <row r="156" spans="1:6" s="2" customFormat="1" ht="41.25" customHeight="1">
      <c r="A156" s="15" t="s">
        <v>20</v>
      </c>
      <c r="B156" s="14" t="s">
        <v>295</v>
      </c>
      <c r="C156" s="14" t="s">
        <v>39</v>
      </c>
      <c r="D156" s="14" t="s">
        <v>33</v>
      </c>
      <c r="E156" s="14" t="s">
        <v>49</v>
      </c>
      <c r="F156" s="35">
        <v>9000</v>
      </c>
    </row>
    <row r="157" spans="1:6" s="2" customFormat="1" ht="39" customHeight="1">
      <c r="A157" s="18" t="s">
        <v>19</v>
      </c>
      <c r="B157" s="14" t="s">
        <v>295</v>
      </c>
      <c r="C157" s="14" t="s">
        <v>39</v>
      </c>
      <c r="D157" s="14" t="s">
        <v>33</v>
      </c>
      <c r="E157" s="14" t="s">
        <v>52</v>
      </c>
      <c r="F157" s="35">
        <f>618847.97+52.03</f>
        <v>618900</v>
      </c>
    </row>
    <row r="158" spans="1:6" s="2" customFormat="1" ht="39.75" customHeight="1">
      <c r="A158" s="18" t="s">
        <v>383</v>
      </c>
      <c r="B158" s="14" t="s">
        <v>296</v>
      </c>
      <c r="C158" s="14" t="s">
        <v>39</v>
      </c>
      <c r="D158" s="14" t="s">
        <v>33</v>
      </c>
      <c r="E158" s="14" t="s">
        <v>52</v>
      </c>
      <c r="F158" s="35">
        <v>3386900</v>
      </c>
    </row>
    <row r="159" spans="1:6" s="2" customFormat="1" ht="28.5" customHeight="1">
      <c r="A159" s="18" t="s">
        <v>15</v>
      </c>
      <c r="B159" s="14" t="s">
        <v>297</v>
      </c>
      <c r="C159" s="14" t="s">
        <v>39</v>
      </c>
      <c r="D159" s="14" t="s">
        <v>33</v>
      </c>
      <c r="E159" s="14" t="s">
        <v>52</v>
      </c>
      <c r="F159" s="35">
        <v>24065000</v>
      </c>
    </row>
    <row r="160" spans="1:6" s="2" customFormat="1" ht="66.75" customHeight="1">
      <c r="A160" s="23" t="s">
        <v>481</v>
      </c>
      <c r="B160" s="14" t="s">
        <v>480</v>
      </c>
      <c r="C160" s="14" t="s">
        <v>39</v>
      </c>
      <c r="D160" s="14" t="s">
        <v>33</v>
      </c>
      <c r="E160" s="14" t="s">
        <v>52</v>
      </c>
      <c r="F160" s="35">
        <v>2700</v>
      </c>
    </row>
    <row r="161" spans="1:6" s="2" customFormat="1" ht="77.25" customHeight="1">
      <c r="A161" s="23" t="s">
        <v>8</v>
      </c>
      <c r="B161" s="14" t="s">
        <v>298</v>
      </c>
      <c r="C161" s="14" t="s">
        <v>39</v>
      </c>
      <c r="D161" s="14" t="s">
        <v>33</v>
      </c>
      <c r="E161" s="14" t="s">
        <v>52</v>
      </c>
      <c r="F161" s="35">
        <v>17465100</v>
      </c>
    </row>
    <row r="162" spans="1:6" s="2" customFormat="1" ht="42" customHeight="1">
      <c r="A162" s="23" t="s">
        <v>384</v>
      </c>
      <c r="B162" s="14" t="s">
        <v>299</v>
      </c>
      <c r="C162" s="14" t="s">
        <v>39</v>
      </c>
      <c r="D162" s="14" t="s">
        <v>33</v>
      </c>
      <c r="E162" s="14" t="s">
        <v>52</v>
      </c>
      <c r="F162" s="35">
        <v>212000</v>
      </c>
    </row>
    <row r="163" spans="1:6" s="2" customFormat="1" ht="27" customHeight="1">
      <c r="A163" s="18" t="s">
        <v>385</v>
      </c>
      <c r="B163" s="14" t="s">
        <v>300</v>
      </c>
      <c r="C163" s="14" t="s">
        <v>39</v>
      </c>
      <c r="D163" s="14" t="s">
        <v>33</v>
      </c>
      <c r="E163" s="14" t="s">
        <v>52</v>
      </c>
      <c r="F163" s="35">
        <v>0</v>
      </c>
    </row>
    <row r="164" spans="1:6" s="2" customFormat="1" ht="54.75" customHeight="1">
      <c r="A164" s="23" t="s">
        <v>386</v>
      </c>
      <c r="B164" s="14" t="s">
        <v>301</v>
      </c>
      <c r="C164" s="14" t="s">
        <v>39</v>
      </c>
      <c r="D164" s="14" t="s">
        <v>33</v>
      </c>
      <c r="E164" s="14" t="s">
        <v>52</v>
      </c>
      <c r="F164" s="35">
        <v>192600</v>
      </c>
    </row>
    <row r="165" spans="1:6" s="2" customFormat="1" ht="21.75" customHeight="1">
      <c r="A165" s="18" t="s">
        <v>11</v>
      </c>
      <c r="B165" s="14" t="s">
        <v>310</v>
      </c>
      <c r="C165" s="14" t="s">
        <v>39</v>
      </c>
      <c r="D165" s="14" t="s">
        <v>36</v>
      </c>
      <c r="E165" s="14" t="s">
        <v>52</v>
      </c>
      <c r="F165" s="35">
        <f>756000+462000</f>
        <v>1218000</v>
      </c>
    </row>
    <row r="166" spans="1:6" s="2" customFormat="1" ht="19.5" customHeight="1">
      <c r="A166" s="18" t="s">
        <v>12</v>
      </c>
      <c r="B166" s="14" t="s">
        <v>311</v>
      </c>
      <c r="C166" s="14" t="s">
        <v>39</v>
      </c>
      <c r="D166" s="14" t="s">
        <v>36</v>
      </c>
      <c r="E166" s="14" t="s">
        <v>52</v>
      </c>
      <c r="F166" s="35">
        <v>310000</v>
      </c>
    </row>
    <row r="167" spans="1:6" s="2" customFormat="1" ht="27.75" customHeight="1">
      <c r="A167" s="15" t="s">
        <v>166</v>
      </c>
      <c r="B167" s="14" t="s">
        <v>312</v>
      </c>
      <c r="C167" s="14" t="s">
        <v>39</v>
      </c>
      <c r="D167" s="14" t="s">
        <v>36</v>
      </c>
      <c r="E167" s="14" t="s">
        <v>49</v>
      </c>
      <c r="F167" s="35">
        <v>99000</v>
      </c>
    </row>
    <row r="168" spans="1:6" s="2" customFormat="1" ht="15.75" customHeight="1">
      <c r="A168" s="18" t="s">
        <v>13</v>
      </c>
      <c r="B168" s="14" t="s">
        <v>313</v>
      </c>
      <c r="C168" s="14" t="s">
        <v>39</v>
      </c>
      <c r="D168" s="14" t="s">
        <v>36</v>
      </c>
      <c r="E168" s="14" t="s">
        <v>52</v>
      </c>
      <c r="F168" s="35">
        <v>40000</v>
      </c>
    </row>
    <row r="169" spans="1:6" s="2" customFormat="1" ht="27" customHeight="1">
      <c r="A169" s="18" t="s">
        <v>14</v>
      </c>
      <c r="B169" s="14" t="s">
        <v>314</v>
      </c>
      <c r="C169" s="14" t="s">
        <v>39</v>
      </c>
      <c r="D169" s="14" t="s">
        <v>36</v>
      </c>
      <c r="E169" s="14" t="s">
        <v>52</v>
      </c>
      <c r="F169" s="35">
        <v>75000</v>
      </c>
    </row>
    <row r="170" spans="1:6" s="2" customFormat="1" ht="27" customHeight="1">
      <c r="A170" s="18" t="s">
        <v>483</v>
      </c>
      <c r="B170" s="14" t="s">
        <v>482</v>
      </c>
      <c r="C170" s="14" t="s">
        <v>39</v>
      </c>
      <c r="D170" s="14" t="s">
        <v>33</v>
      </c>
      <c r="E170" s="14" t="s">
        <v>52</v>
      </c>
      <c r="F170" s="35">
        <v>2403200</v>
      </c>
    </row>
    <row r="171" spans="1:6" s="2" customFormat="1" ht="16.5" customHeight="1">
      <c r="A171" s="15" t="s">
        <v>50</v>
      </c>
      <c r="B171" s="14" t="s">
        <v>315</v>
      </c>
      <c r="C171" s="14"/>
      <c r="D171" s="14"/>
      <c r="E171" s="14"/>
      <c r="F171" s="35">
        <f>SUM(F172)</f>
        <v>47808.84</v>
      </c>
    </row>
    <row r="172" spans="1:6" s="2" customFormat="1" ht="33.75" customHeight="1">
      <c r="A172" s="15" t="s">
        <v>67</v>
      </c>
      <c r="B172" s="14" t="s">
        <v>316</v>
      </c>
      <c r="C172" s="14" t="s">
        <v>39</v>
      </c>
      <c r="D172" s="14" t="s">
        <v>36</v>
      </c>
      <c r="E172" s="14" t="s">
        <v>51</v>
      </c>
      <c r="F172" s="35">
        <v>47808.84</v>
      </c>
    </row>
    <row r="173" spans="1:6" s="2" customFormat="1" ht="24.75" customHeight="1">
      <c r="A173" s="18" t="s">
        <v>136</v>
      </c>
      <c r="B173" s="14" t="s">
        <v>302</v>
      </c>
      <c r="C173" s="14"/>
      <c r="D173" s="14"/>
      <c r="E173" s="14"/>
      <c r="F173" s="35">
        <f>SUM(F174)</f>
        <v>5699566.16</v>
      </c>
    </row>
    <row r="174" spans="1:6" s="3" customFormat="1" ht="27" customHeight="1">
      <c r="A174" s="18" t="s">
        <v>387</v>
      </c>
      <c r="B174" s="14" t="s">
        <v>303</v>
      </c>
      <c r="C174" s="14" t="s">
        <v>39</v>
      </c>
      <c r="D174" s="14" t="s">
        <v>33</v>
      </c>
      <c r="E174" s="14" t="s">
        <v>52</v>
      </c>
      <c r="F174" s="35">
        <v>5699566.16</v>
      </c>
    </row>
    <row r="175" spans="1:6" s="3" customFormat="1" ht="25.5">
      <c r="A175" s="16" t="s">
        <v>259</v>
      </c>
      <c r="B175" s="41" t="s">
        <v>123</v>
      </c>
      <c r="C175" s="14"/>
      <c r="D175" s="14"/>
      <c r="E175" s="14"/>
      <c r="F175" s="40">
        <f>F176</f>
        <v>2810000</v>
      </c>
    </row>
    <row r="176" spans="1:6" s="3" customFormat="1" ht="13.5">
      <c r="A176" s="15" t="s">
        <v>24</v>
      </c>
      <c r="B176" s="14" t="s">
        <v>124</v>
      </c>
      <c r="C176" s="14"/>
      <c r="D176" s="14"/>
      <c r="E176" s="14"/>
      <c r="F176" s="35">
        <f>SUM(F177)+F178</f>
        <v>2810000</v>
      </c>
    </row>
    <row r="177" spans="1:6" s="2" customFormat="1" ht="38.25">
      <c r="A177" s="15" t="s">
        <v>125</v>
      </c>
      <c r="B177" s="14" t="s">
        <v>133</v>
      </c>
      <c r="C177" s="14" t="s">
        <v>35</v>
      </c>
      <c r="D177" s="14" t="s">
        <v>42</v>
      </c>
      <c r="E177" s="14" t="s">
        <v>49</v>
      </c>
      <c r="F177" s="35">
        <v>200000</v>
      </c>
    </row>
    <row r="178" spans="1:6" s="2" customFormat="1" ht="30.75" customHeight="1">
      <c r="A178" s="15" t="s">
        <v>203</v>
      </c>
      <c r="B178" s="14" t="s">
        <v>190</v>
      </c>
      <c r="C178" s="14" t="s">
        <v>35</v>
      </c>
      <c r="D178" s="14" t="s">
        <v>42</v>
      </c>
      <c r="E178" s="14" t="s">
        <v>49</v>
      </c>
      <c r="F178" s="35">
        <f>3480000-870000</f>
        <v>2610000</v>
      </c>
    </row>
    <row r="179" spans="1:6" s="2" customFormat="1" ht="29.25" customHeight="1">
      <c r="A179" s="16" t="s">
        <v>266</v>
      </c>
      <c r="B179" s="41" t="s">
        <v>317</v>
      </c>
      <c r="C179" s="14"/>
      <c r="D179" s="14"/>
      <c r="E179" s="14"/>
      <c r="F179" s="40">
        <f>F180+F185</f>
        <v>10367560</v>
      </c>
    </row>
    <row r="180" spans="1:16" s="2" customFormat="1" ht="13.5">
      <c r="A180" s="15" t="s">
        <v>60</v>
      </c>
      <c r="B180" s="14" t="s">
        <v>318</v>
      </c>
      <c r="C180" s="14"/>
      <c r="D180" s="14"/>
      <c r="E180" s="14"/>
      <c r="F180" s="35">
        <f>SUM(F181:F184)</f>
        <v>10365652</v>
      </c>
      <c r="I180" s="26"/>
      <c r="J180" s="26"/>
      <c r="K180" s="26"/>
      <c r="L180" s="26"/>
      <c r="M180" s="26"/>
      <c r="N180" s="27"/>
      <c r="O180" s="28"/>
      <c r="P180" s="32"/>
    </row>
    <row r="181" spans="1:6" s="2" customFormat="1" ht="51">
      <c r="A181" s="17" t="s">
        <v>65</v>
      </c>
      <c r="B181" s="14" t="s">
        <v>319</v>
      </c>
      <c r="C181" s="14" t="s">
        <v>32</v>
      </c>
      <c r="D181" s="14" t="s">
        <v>36</v>
      </c>
      <c r="E181" s="14" t="s">
        <v>48</v>
      </c>
      <c r="F181" s="35">
        <f>6273672+5070+1894630</f>
        <v>8173372</v>
      </c>
    </row>
    <row r="182" spans="1:6" s="2" customFormat="1" ht="38.25" customHeight="1">
      <c r="A182" s="15" t="s">
        <v>66</v>
      </c>
      <c r="B182" s="14" t="s">
        <v>319</v>
      </c>
      <c r="C182" s="14" t="s">
        <v>32</v>
      </c>
      <c r="D182" s="14" t="s">
        <v>36</v>
      </c>
      <c r="E182" s="14" t="s">
        <v>49</v>
      </c>
      <c r="F182" s="35">
        <f>403049.7+139488</f>
        <v>542537.7</v>
      </c>
    </row>
    <row r="183" spans="1:6" s="2" customFormat="1" ht="33.75" customHeight="1">
      <c r="A183" s="15" t="s">
        <v>517</v>
      </c>
      <c r="B183" s="14" t="s">
        <v>319</v>
      </c>
      <c r="C183" s="14" t="s">
        <v>32</v>
      </c>
      <c r="D183" s="14" t="s">
        <v>36</v>
      </c>
      <c r="E183" s="14" t="s">
        <v>51</v>
      </c>
      <c r="F183" s="35">
        <v>3091.3</v>
      </c>
    </row>
    <row r="184" spans="1:6" s="2" customFormat="1" ht="25.5">
      <c r="A184" s="15" t="s">
        <v>412</v>
      </c>
      <c r="B184" s="14" t="s">
        <v>320</v>
      </c>
      <c r="C184" s="14" t="s">
        <v>32</v>
      </c>
      <c r="D184" s="14" t="s">
        <v>36</v>
      </c>
      <c r="E184" s="14" t="s">
        <v>49</v>
      </c>
      <c r="F184" s="35">
        <v>1646651</v>
      </c>
    </row>
    <row r="185" spans="1:6" s="2" customFormat="1" ht="13.5">
      <c r="A185" s="15" t="s">
        <v>50</v>
      </c>
      <c r="B185" s="14" t="s">
        <v>321</v>
      </c>
      <c r="C185" s="14"/>
      <c r="D185" s="14"/>
      <c r="E185" s="14"/>
      <c r="F185" s="35">
        <f>F186</f>
        <v>1908</v>
      </c>
    </row>
    <row r="186" spans="1:6" s="2" customFormat="1" ht="23.25" customHeight="1">
      <c r="A186" s="15" t="s">
        <v>67</v>
      </c>
      <c r="B186" s="14" t="s">
        <v>322</v>
      </c>
      <c r="C186" s="14" t="s">
        <v>32</v>
      </c>
      <c r="D186" s="14" t="s">
        <v>36</v>
      </c>
      <c r="E186" s="14" t="s">
        <v>51</v>
      </c>
      <c r="F186" s="35">
        <v>1908</v>
      </c>
    </row>
    <row r="187" spans="1:6" s="2" customFormat="1" ht="28.5" customHeight="1">
      <c r="A187" s="19" t="s">
        <v>323</v>
      </c>
      <c r="B187" s="41" t="s">
        <v>95</v>
      </c>
      <c r="C187" s="14"/>
      <c r="D187" s="14"/>
      <c r="E187" s="14"/>
      <c r="F187" s="40">
        <f>F188+F192+F205</f>
        <v>39979235.18</v>
      </c>
    </row>
    <row r="188" spans="1:16" s="2" customFormat="1" ht="33.75" customHeight="1">
      <c r="A188" s="18" t="s">
        <v>93</v>
      </c>
      <c r="B188" s="14" t="s">
        <v>96</v>
      </c>
      <c r="C188" s="14"/>
      <c r="D188" s="14"/>
      <c r="E188" s="14"/>
      <c r="F188" s="35">
        <f>SUM(F189)</f>
        <v>754210.8</v>
      </c>
      <c r="I188" s="26"/>
      <c r="J188" s="26"/>
      <c r="K188" s="26"/>
      <c r="L188" s="26"/>
      <c r="M188" s="26"/>
      <c r="N188" s="27"/>
      <c r="O188" s="28"/>
      <c r="P188" s="29"/>
    </row>
    <row r="189" spans="1:18" s="2" customFormat="1" ht="14.25" customHeight="1">
      <c r="A189" s="18" t="s">
        <v>94</v>
      </c>
      <c r="B189" s="14" t="s">
        <v>97</v>
      </c>
      <c r="C189" s="14"/>
      <c r="D189" s="14"/>
      <c r="E189" s="14"/>
      <c r="F189" s="35">
        <f>SUM(F190:F191)</f>
        <v>754210.8</v>
      </c>
      <c r="I189" s="26"/>
      <c r="J189" s="26"/>
      <c r="K189" s="26"/>
      <c r="L189" s="26"/>
      <c r="M189" s="26"/>
      <c r="N189" s="34"/>
      <c r="O189" s="28"/>
      <c r="P189" s="29"/>
      <c r="Q189" s="31"/>
      <c r="R189" s="31"/>
    </row>
    <row r="190" spans="1:18" s="2" customFormat="1" ht="38.25" customHeight="1">
      <c r="A190" s="18" t="s">
        <v>485</v>
      </c>
      <c r="B190" s="14" t="s">
        <v>484</v>
      </c>
      <c r="C190" s="14" t="s">
        <v>39</v>
      </c>
      <c r="D190" s="14" t="s">
        <v>33</v>
      </c>
      <c r="E190" s="14" t="s">
        <v>52</v>
      </c>
      <c r="F190" s="35">
        <v>469119</v>
      </c>
      <c r="I190" s="26"/>
      <c r="J190" s="26"/>
      <c r="K190" s="26"/>
      <c r="L190" s="26"/>
      <c r="M190" s="26"/>
      <c r="N190" s="34"/>
      <c r="O190" s="28"/>
      <c r="P190" s="29"/>
      <c r="Q190" s="31"/>
      <c r="R190" s="31"/>
    </row>
    <row r="191" spans="1:17" s="2" customFormat="1" ht="40.5" customHeight="1">
      <c r="A191" s="18" t="s">
        <v>114</v>
      </c>
      <c r="B191" s="14" t="s">
        <v>464</v>
      </c>
      <c r="C191" s="14" t="s">
        <v>39</v>
      </c>
      <c r="D191" s="14" t="s">
        <v>33</v>
      </c>
      <c r="E191" s="14" t="s">
        <v>52</v>
      </c>
      <c r="F191" s="35">
        <v>285091.8</v>
      </c>
      <c r="I191" s="26"/>
      <c r="J191" s="26"/>
      <c r="K191" s="26"/>
      <c r="L191" s="26"/>
      <c r="M191" s="26"/>
      <c r="N191" s="27"/>
      <c r="O191" s="28"/>
      <c r="P191" s="29"/>
      <c r="Q191" s="31"/>
    </row>
    <row r="192" spans="1:16" s="2" customFormat="1" ht="13.5">
      <c r="A192" s="20" t="s">
        <v>127</v>
      </c>
      <c r="B192" s="14" t="s">
        <v>128</v>
      </c>
      <c r="C192" s="14"/>
      <c r="D192" s="14"/>
      <c r="E192" s="14"/>
      <c r="F192" s="35">
        <f>F193+F199</f>
        <v>34240546.2</v>
      </c>
      <c r="I192" s="26"/>
      <c r="J192" s="26"/>
      <c r="K192" s="26"/>
      <c r="L192" s="26"/>
      <c r="M192" s="26"/>
      <c r="N192" s="27"/>
      <c r="O192" s="28"/>
      <c r="P192" s="29"/>
    </row>
    <row r="193" spans="1:6" s="2" customFormat="1" ht="13.5">
      <c r="A193" s="18" t="s">
        <v>24</v>
      </c>
      <c r="B193" s="14" t="s">
        <v>176</v>
      </c>
      <c r="C193" s="14"/>
      <c r="D193" s="14"/>
      <c r="E193" s="14"/>
      <c r="F193" s="35">
        <f>SUM(F194:F198)</f>
        <v>14575165.2</v>
      </c>
    </row>
    <row r="194" spans="1:6" s="2" customFormat="1" ht="61.5" customHeight="1">
      <c r="A194" s="23" t="s">
        <v>487</v>
      </c>
      <c r="B194" s="14" t="s">
        <v>486</v>
      </c>
      <c r="C194" s="14" t="s">
        <v>40</v>
      </c>
      <c r="D194" s="14" t="s">
        <v>34</v>
      </c>
      <c r="E194" s="14" t="s">
        <v>49</v>
      </c>
      <c r="F194" s="35">
        <v>13000000</v>
      </c>
    </row>
    <row r="195" spans="1:6" s="2" customFormat="1" ht="26.25" customHeight="1">
      <c r="A195" s="23" t="s">
        <v>489</v>
      </c>
      <c r="B195" s="14" t="s">
        <v>488</v>
      </c>
      <c r="C195" s="14" t="s">
        <v>40</v>
      </c>
      <c r="D195" s="14" t="s">
        <v>34</v>
      </c>
      <c r="E195" s="14" t="s">
        <v>49</v>
      </c>
      <c r="F195" s="35">
        <v>77000</v>
      </c>
    </row>
    <row r="196" spans="1:6" s="2" customFormat="1" ht="25.5">
      <c r="A196" s="15" t="s">
        <v>413</v>
      </c>
      <c r="B196" s="14" t="s">
        <v>151</v>
      </c>
      <c r="C196" s="14" t="s">
        <v>40</v>
      </c>
      <c r="D196" s="14" t="s">
        <v>34</v>
      </c>
      <c r="E196" s="14" t="s">
        <v>49</v>
      </c>
      <c r="F196" s="35">
        <f>513645-1000</f>
        <v>512645</v>
      </c>
    </row>
    <row r="197" spans="1:6" s="2" customFormat="1" ht="23.25" customHeight="1">
      <c r="A197" s="15" t="s">
        <v>174</v>
      </c>
      <c r="B197" s="14" t="s">
        <v>175</v>
      </c>
      <c r="C197" s="14" t="s">
        <v>40</v>
      </c>
      <c r="D197" s="14" t="s">
        <v>40</v>
      </c>
      <c r="E197" s="14" t="s">
        <v>49</v>
      </c>
      <c r="F197" s="35">
        <f>30000+300000+158624.2</f>
        <v>488624.2</v>
      </c>
    </row>
    <row r="198" spans="1:6" s="2" customFormat="1" ht="52.5" customHeight="1">
      <c r="A198" s="17" t="s">
        <v>491</v>
      </c>
      <c r="B198" s="14" t="s">
        <v>490</v>
      </c>
      <c r="C198" s="14" t="s">
        <v>40</v>
      </c>
      <c r="D198" s="14" t="s">
        <v>34</v>
      </c>
      <c r="E198" s="14" t="s">
        <v>49</v>
      </c>
      <c r="F198" s="35">
        <f>495896+1000</f>
        <v>496896</v>
      </c>
    </row>
    <row r="199" spans="1:6" s="2" customFormat="1" ht="18.75" customHeight="1">
      <c r="A199" s="15" t="s">
        <v>82</v>
      </c>
      <c r="B199" s="14" t="s">
        <v>105</v>
      </c>
      <c r="C199" s="14"/>
      <c r="D199" s="14"/>
      <c r="E199" s="14"/>
      <c r="F199" s="35">
        <f>SUM(F200:F204)</f>
        <v>19665381</v>
      </c>
    </row>
    <row r="200" spans="1:6" s="2" customFormat="1" ht="33.75" customHeight="1">
      <c r="A200" s="15" t="s">
        <v>506</v>
      </c>
      <c r="B200" s="14" t="s">
        <v>505</v>
      </c>
      <c r="C200" s="14" t="s">
        <v>40</v>
      </c>
      <c r="D200" s="14" t="s">
        <v>40</v>
      </c>
      <c r="E200" s="14" t="s">
        <v>86</v>
      </c>
      <c r="F200" s="35">
        <v>16000000</v>
      </c>
    </row>
    <row r="201" spans="1:6" s="2" customFormat="1" ht="33.75" customHeight="1">
      <c r="A201" s="15" t="s">
        <v>511</v>
      </c>
      <c r="B201" s="14" t="s">
        <v>510</v>
      </c>
      <c r="C201" s="14" t="s">
        <v>40</v>
      </c>
      <c r="D201" s="14" t="s">
        <v>34</v>
      </c>
      <c r="E201" s="14" t="s">
        <v>86</v>
      </c>
      <c r="F201" s="35">
        <v>1115726</v>
      </c>
    </row>
    <row r="202" spans="1:6" s="2" customFormat="1" ht="30" customHeight="1">
      <c r="A202" s="15" t="s">
        <v>191</v>
      </c>
      <c r="B202" s="14" t="s">
        <v>504</v>
      </c>
      <c r="C202" s="14" t="s">
        <v>40</v>
      </c>
      <c r="D202" s="14" t="s">
        <v>40</v>
      </c>
      <c r="E202" s="14" t="s">
        <v>86</v>
      </c>
      <c r="F202" s="35">
        <v>638200</v>
      </c>
    </row>
    <row r="203" spans="1:6" s="2" customFormat="1" ht="27" customHeight="1">
      <c r="A203" s="15" t="s">
        <v>492</v>
      </c>
      <c r="B203" s="14" t="s">
        <v>106</v>
      </c>
      <c r="C203" s="14" t="s">
        <v>40</v>
      </c>
      <c r="D203" s="14" t="s">
        <v>34</v>
      </c>
      <c r="E203" s="14" t="s">
        <v>49</v>
      </c>
      <c r="F203" s="35">
        <v>2501</v>
      </c>
    </row>
    <row r="204" spans="1:6" s="2" customFormat="1" ht="24.75" customHeight="1">
      <c r="A204" s="39" t="s">
        <v>110</v>
      </c>
      <c r="B204" s="14" t="s">
        <v>106</v>
      </c>
      <c r="C204" s="14" t="s">
        <v>40</v>
      </c>
      <c r="D204" s="14" t="s">
        <v>34</v>
      </c>
      <c r="E204" s="14" t="s">
        <v>86</v>
      </c>
      <c r="F204" s="35">
        <f>1458954-50000-500000+1000000</f>
        <v>1908954</v>
      </c>
    </row>
    <row r="205" spans="1:6" s="2" customFormat="1" ht="23.25" customHeight="1">
      <c r="A205" s="15" t="s">
        <v>204</v>
      </c>
      <c r="B205" s="14" t="s">
        <v>197</v>
      </c>
      <c r="C205" s="14"/>
      <c r="D205" s="14"/>
      <c r="E205" s="14"/>
      <c r="F205" s="35">
        <f>F206+F208</f>
        <v>4984478.18</v>
      </c>
    </row>
    <row r="206" spans="1:6" s="2" customFormat="1" ht="16.5" customHeight="1">
      <c r="A206" s="15" t="s">
        <v>24</v>
      </c>
      <c r="B206" s="14" t="s">
        <v>198</v>
      </c>
      <c r="C206" s="14"/>
      <c r="D206" s="14"/>
      <c r="E206" s="14"/>
      <c r="F206" s="35">
        <f>F207</f>
        <v>99999</v>
      </c>
    </row>
    <row r="207" spans="1:6" s="2" customFormat="1" ht="23.25" customHeight="1">
      <c r="A207" s="15" t="s">
        <v>205</v>
      </c>
      <c r="B207" s="14" t="s">
        <v>199</v>
      </c>
      <c r="C207" s="14" t="s">
        <v>32</v>
      </c>
      <c r="D207" s="14" t="s">
        <v>44</v>
      </c>
      <c r="E207" s="14" t="s">
        <v>49</v>
      </c>
      <c r="F207" s="35">
        <f>790109-690109+690109-690110</f>
        <v>99999</v>
      </c>
    </row>
    <row r="208" spans="1:6" s="2" customFormat="1" ht="23.25" customHeight="1">
      <c r="A208" s="20" t="s">
        <v>82</v>
      </c>
      <c r="B208" s="14" t="s">
        <v>507</v>
      </c>
      <c r="C208" s="14"/>
      <c r="D208" s="14"/>
      <c r="E208" s="14"/>
      <c r="F208" s="35">
        <f>F209</f>
        <v>4884479.18</v>
      </c>
    </row>
    <row r="209" spans="1:6" s="2" customFormat="1" ht="37.5" customHeight="1">
      <c r="A209" s="15" t="s">
        <v>509</v>
      </c>
      <c r="B209" s="14" t="s">
        <v>508</v>
      </c>
      <c r="C209" s="14" t="s">
        <v>40</v>
      </c>
      <c r="D209" s="14" t="s">
        <v>32</v>
      </c>
      <c r="E209" s="14" t="s">
        <v>86</v>
      </c>
      <c r="F209" s="35">
        <v>4884479.18</v>
      </c>
    </row>
    <row r="210" spans="1:6" s="2" customFormat="1" ht="25.5">
      <c r="A210" s="16" t="s">
        <v>260</v>
      </c>
      <c r="B210" s="41" t="s">
        <v>324</v>
      </c>
      <c r="C210" s="14"/>
      <c r="D210" s="14"/>
      <c r="E210" s="14"/>
      <c r="F210" s="40">
        <f>F211+F215+F219</f>
        <v>12967549.55</v>
      </c>
    </row>
    <row r="211" spans="1:6" s="2" customFormat="1" ht="13.5" customHeight="1">
      <c r="A211" s="15" t="s">
        <v>60</v>
      </c>
      <c r="B211" s="14" t="s">
        <v>325</v>
      </c>
      <c r="C211" s="14"/>
      <c r="D211" s="14"/>
      <c r="E211" s="14"/>
      <c r="F211" s="35">
        <f>SUM(F212:F214)</f>
        <v>9594593.100000001</v>
      </c>
    </row>
    <row r="212" spans="1:6" s="2" customFormat="1" ht="51">
      <c r="A212" s="17" t="s">
        <v>65</v>
      </c>
      <c r="B212" s="14" t="s">
        <v>326</v>
      </c>
      <c r="C212" s="14" t="s">
        <v>32</v>
      </c>
      <c r="D212" s="14" t="s">
        <v>44</v>
      </c>
      <c r="E212" s="14" t="s">
        <v>48</v>
      </c>
      <c r="F212" s="35">
        <f>6140032.83+6450+1850839.17</f>
        <v>7997322</v>
      </c>
    </row>
    <row r="213" spans="1:6" s="2" customFormat="1" ht="42.75" customHeight="1">
      <c r="A213" s="15" t="s">
        <v>66</v>
      </c>
      <c r="B213" s="14" t="s">
        <v>326</v>
      </c>
      <c r="C213" s="14" t="s">
        <v>32</v>
      </c>
      <c r="D213" s="14" t="s">
        <v>44</v>
      </c>
      <c r="E213" s="14" t="s">
        <v>49</v>
      </c>
      <c r="F213" s="35">
        <f>386080.08+1200378.8</f>
        <v>1586458.8800000001</v>
      </c>
    </row>
    <row r="214" spans="1:6" s="2" customFormat="1" ht="27.75" customHeight="1">
      <c r="A214" s="15" t="s">
        <v>67</v>
      </c>
      <c r="B214" s="14" t="s">
        <v>326</v>
      </c>
      <c r="C214" s="14" t="s">
        <v>32</v>
      </c>
      <c r="D214" s="14" t="s">
        <v>44</v>
      </c>
      <c r="E214" s="14" t="s">
        <v>51</v>
      </c>
      <c r="F214" s="35">
        <f>10722.87+89.35</f>
        <v>10812.220000000001</v>
      </c>
    </row>
    <row r="215" spans="1:6" s="2" customFormat="1" ht="16.5" customHeight="1">
      <c r="A215" s="15" t="s">
        <v>24</v>
      </c>
      <c r="B215" s="14" t="s">
        <v>327</v>
      </c>
      <c r="C215" s="14"/>
      <c r="D215" s="14"/>
      <c r="E215" s="14"/>
      <c r="F215" s="35">
        <f>SUM(F216:F218)</f>
        <v>3022685.09</v>
      </c>
    </row>
    <row r="216" spans="1:6" s="2" customFormat="1" ht="25.5" customHeight="1">
      <c r="A216" s="15" t="s">
        <v>169</v>
      </c>
      <c r="B216" s="14" t="s">
        <v>332</v>
      </c>
      <c r="C216" s="14" t="s">
        <v>35</v>
      </c>
      <c r="D216" s="14" t="s">
        <v>42</v>
      </c>
      <c r="E216" s="14" t="s">
        <v>49</v>
      </c>
      <c r="F216" s="35">
        <v>104177</v>
      </c>
    </row>
    <row r="217" spans="1:6" s="2" customFormat="1" ht="25.5" customHeight="1">
      <c r="A217" s="15" t="s">
        <v>21</v>
      </c>
      <c r="B217" s="14" t="s">
        <v>332</v>
      </c>
      <c r="C217" s="14" t="s">
        <v>35</v>
      </c>
      <c r="D217" s="14" t="s">
        <v>42</v>
      </c>
      <c r="E217" s="14" t="s">
        <v>51</v>
      </c>
      <c r="F217" s="35">
        <v>50000</v>
      </c>
    </row>
    <row r="218" spans="1:6" s="2" customFormat="1" ht="25.5" customHeight="1">
      <c r="A218" s="15" t="s">
        <v>414</v>
      </c>
      <c r="B218" s="14" t="s">
        <v>328</v>
      </c>
      <c r="C218" s="14" t="s">
        <v>32</v>
      </c>
      <c r="D218" s="14" t="s">
        <v>44</v>
      </c>
      <c r="E218" s="14" t="s">
        <v>49</v>
      </c>
      <c r="F218" s="35">
        <v>2868508.09</v>
      </c>
    </row>
    <row r="219" spans="1:6" s="2" customFormat="1" ht="13.5">
      <c r="A219" s="15" t="s">
        <v>50</v>
      </c>
      <c r="B219" s="14" t="s">
        <v>329</v>
      </c>
      <c r="C219" s="14"/>
      <c r="D219" s="14"/>
      <c r="E219" s="14"/>
      <c r="F219" s="35">
        <f>SUM(F220:F221)</f>
        <v>350271.36</v>
      </c>
    </row>
    <row r="220" spans="1:6" s="2" customFormat="1" ht="27" customHeight="1">
      <c r="A220" s="15" t="s">
        <v>67</v>
      </c>
      <c r="B220" s="14" t="s">
        <v>330</v>
      </c>
      <c r="C220" s="14" t="s">
        <v>32</v>
      </c>
      <c r="D220" s="14" t="s">
        <v>44</v>
      </c>
      <c r="E220" s="14" t="s">
        <v>51</v>
      </c>
      <c r="F220" s="35">
        <v>12271.36</v>
      </c>
    </row>
    <row r="221" spans="1:6" s="2" customFormat="1" ht="25.5">
      <c r="A221" s="15" t="s">
        <v>415</v>
      </c>
      <c r="B221" s="14" t="s">
        <v>331</v>
      </c>
      <c r="C221" s="14" t="s">
        <v>32</v>
      </c>
      <c r="D221" s="14" t="s">
        <v>44</v>
      </c>
      <c r="E221" s="14" t="s">
        <v>51</v>
      </c>
      <c r="F221" s="35">
        <v>338000</v>
      </c>
    </row>
    <row r="222" spans="1:6" s="2" customFormat="1" ht="21.75" customHeight="1">
      <c r="A222" s="16" t="s">
        <v>418</v>
      </c>
      <c r="B222" s="41" t="s">
        <v>83</v>
      </c>
      <c r="C222" s="14"/>
      <c r="D222" s="14"/>
      <c r="E222" s="14"/>
      <c r="F222" s="40">
        <f>F223</f>
        <v>30000</v>
      </c>
    </row>
    <row r="223" spans="1:6" s="2" customFormat="1" ht="18.75" customHeight="1">
      <c r="A223" s="20" t="s">
        <v>82</v>
      </c>
      <c r="B223" s="14" t="s">
        <v>84</v>
      </c>
      <c r="C223" s="14"/>
      <c r="D223" s="14"/>
      <c r="E223" s="14"/>
      <c r="F223" s="35">
        <f>SUM(F224)</f>
        <v>30000</v>
      </c>
    </row>
    <row r="224" spans="1:6" s="2" customFormat="1" ht="25.5">
      <c r="A224" s="18" t="s">
        <v>87</v>
      </c>
      <c r="B224" s="14" t="s">
        <v>85</v>
      </c>
      <c r="C224" s="14" t="s">
        <v>40</v>
      </c>
      <c r="D224" s="14" t="s">
        <v>34</v>
      </c>
      <c r="E224" s="14" t="s">
        <v>86</v>
      </c>
      <c r="F224" s="35">
        <v>30000</v>
      </c>
    </row>
    <row r="225" spans="1:6" s="2" customFormat="1" ht="38.25">
      <c r="A225" s="24" t="s">
        <v>333</v>
      </c>
      <c r="B225" s="41" t="s">
        <v>129</v>
      </c>
      <c r="C225" s="14"/>
      <c r="D225" s="14"/>
      <c r="E225" s="14"/>
      <c r="F225" s="40">
        <f>F226</f>
        <v>2086470.48</v>
      </c>
    </row>
    <row r="226" spans="1:6" s="2" customFormat="1" ht="13.5">
      <c r="A226" s="18" t="s">
        <v>24</v>
      </c>
      <c r="B226" s="14" t="s">
        <v>334</v>
      </c>
      <c r="C226" s="14"/>
      <c r="D226" s="14"/>
      <c r="E226" s="14"/>
      <c r="F226" s="35">
        <f>F227+F228</f>
        <v>2086470.48</v>
      </c>
    </row>
    <row r="227" spans="1:6" s="2" customFormat="1" ht="25.5">
      <c r="A227" s="15" t="s">
        <v>413</v>
      </c>
      <c r="B227" s="14" t="s">
        <v>335</v>
      </c>
      <c r="C227" s="14" t="s">
        <v>40</v>
      </c>
      <c r="D227" s="14" t="s">
        <v>34</v>
      </c>
      <c r="E227" s="14" t="s">
        <v>49</v>
      </c>
      <c r="F227" s="35">
        <v>30000</v>
      </c>
    </row>
    <row r="228" spans="1:6" s="2" customFormat="1" ht="25.5">
      <c r="A228" s="15" t="s">
        <v>519</v>
      </c>
      <c r="B228" s="14" t="s">
        <v>518</v>
      </c>
      <c r="C228" s="14" t="s">
        <v>40</v>
      </c>
      <c r="D228" s="14" t="s">
        <v>33</v>
      </c>
      <c r="E228" s="14" t="s">
        <v>49</v>
      </c>
      <c r="F228" s="35">
        <v>2056470.48</v>
      </c>
    </row>
    <row r="229" spans="1:6" s="2" customFormat="1" ht="27.75" customHeight="1">
      <c r="A229" s="24" t="s">
        <v>261</v>
      </c>
      <c r="B229" s="41" t="s">
        <v>25</v>
      </c>
      <c r="C229" s="14"/>
      <c r="D229" s="14"/>
      <c r="E229" s="14"/>
      <c r="F229" s="40">
        <f>F230</f>
        <v>15444699.91</v>
      </c>
    </row>
    <row r="230" spans="1:16" s="2" customFormat="1" ht="13.5">
      <c r="A230" s="18" t="s">
        <v>336</v>
      </c>
      <c r="B230" s="14" t="s">
        <v>337</v>
      </c>
      <c r="C230" s="14"/>
      <c r="D230" s="14"/>
      <c r="E230" s="14"/>
      <c r="F230" s="35">
        <f>SUM(F231:F239)</f>
        <v>15444699.91</v>
      </c>
      <c r="I230" s="26"/>
      <c r="J230" s="26"/>
      <c r="K230" s="26"/>
      <c r="L230" s="26"/>
      <c r="M230" s="26"/>
      <c r="N230" s="27"/>
      <c r="O230" s="28"/>
      <c r="P230" s="29"/>
    </row>
    <row r="231" spans="1:6" s="2" customFormat="1" ht="25.5">
      <c r="A231" s="15" t="s">
        <v>430</v>
      </c>
      <c r="B231" s="14" t="s">
        <v>338</v>
      </c>
      <c r="C231" s="14" t="s">
        <v>35</v>
      </c>
      <c r="D231" s="14" t="s">
        <v>37</v>
      </c>
      <c r="E231" s="14" t="s">
        <v>49</v>
      </c>
      <c r="F231" s="35">
        <f>3495052-45321-15520+45321</f>
        <v>3479532</v>
      </c>
    </row>
    <row r="232" spans="1:6" s="2" customFormat="1" ht="25.5">
      <c r="A232" s="15" t="s">
        <v>431</v>
      </c>
      <c r="B232" s="14" t="s">
        <v>339</v>
      </c>
      <c r="C232" s="14" t="s">
        <v>35</v>
      </c>
      <c r="D232" s="14" t="s">
        <v>37</v>
      </c>
      <c r="E232" s="14" t="s">
        <v>49</v>
      </c>
      <c r="F232" s="35">
        <v>460000</v>
      </c>
    </row>
    <row r="233" spans="1:6" s="2" customFormat="1" ht="25.5">
      <c r="A233" s="15" t="s">
        <v>432</v>
      </c>
      <c r="B233" s="14" t="s">
        <v>340</v>
      </c>
      <c r="C233" s="14" t="s">
        <v>35</v>
      </c>
      <c r="D233" s="14" t="s">
        <v>37</v>
      </c>
      <c r="E233" s="14" t="s">
        <v>49</v>
      </c>
      <c r="F233" s="35">
        <v>1095523</v>
      </c>
    </row>
    <row r="234" spans="1:6" s="3" customFormat="1" ht="25.5">
      <c r="A234" s="15" t="s">
        <v>433</v>
      </c>
      <c r="B234" s="14" t="s">
        <v>341</v>
      </c>
      <c r="C234" s="14" t="s">
        <v>35</v>
      </c>
      <c r="D234" s="14" t="s">
        <v>37</v>
      </c>
      <c r="E234" s="14" t="s">
        <v>49</v>
      </c>
      <c r="F234" s="35">
        <v>841712</v>
      </c>
    </row>
    <row r="235" spans="1:6" s="3" customFormat="1" ht="23.25" customHeight="1">
      <c r="A235" s="15" t="s">
        <v>434</v>
      </c>
      <c r="B235" s="14" t="s">
        <v>342</v>
      </c>
      <c r="C235" s="14" t="s">
        <v>35</v>
      </c>
      <c r="D235" s="14" t="s">
        <v>37</v>
      </c>
      <c r="E235" s="14" t="s">
        <v>49</v>
      </c>
      <c r="F235" s="35">
        <v>790464.91</v>
      </c>
    </row>
    <row r="236" spans="1:6" s="5" customFormat="1" ht="17.25" customHeight="1">
      <c r="A236" s="15" t="s">
        <v>112</v>
      </c>
      <c r="B236" s="14" t="s">
        <v>343</v>
      </c>
      <c r="C236" s="14" t="s">
        <v>35</v>
      </c>
      <c r="D236" s="14" t="s">
        <v>37</v>
      </c>
      <c r="E236" s="14" t="s">
        <v>49</v>
      </c>
      <c r="F236" s="35">
        <v>733579</v>
      </c>
    </row>
    <row r="237" spans="1:6" s="5" customFormat="1" ht="27" customHeight="1">
      <c r="A237" s="15" t="s">
        <v>494</v>
      </c>
      <c r="B237" s="14" t="s">
        <v>388</v>
      </c>
      <c r="C237" s="14" t="s">
        <v>35</v>
      </c>
      <c r="D237" s="14" t="s">
        <v>37</v>
      </c>
      <c r="E237" s="14" t="s">
        <v>49</v>
      </c>
      <c r="F237" s="35">
        <v>2363560.73</v>
      </c>
    </row>
    <row r="238" spans="1:6" s="5" customFormat="1" ht="28.5" customHeight="1">
      <c r="A238" s="15" t="s">
        <v>109</v>
      </c>
      <c r="B238" s="14" t="s">
        <v>104</v>
      </c>
      <c r="C238" s="14" t="s">
        <v>35</v>
      </c>
      <c r="D238" s="14" t="s">
        <v>37</v>
      </c>
      <c r="E238" s="14" t="s">
        <v>49</v>
      </c>
      <c r="F238" s="35">
        <v>920704.27</v>
      </c>
    </row>
    <row r="239" spans="1:6" s="5" customFormat="1" ht="17.25" customHeight="1">
      <c r="A239" s="15" t="s">
        <v>495</v>
      </c>
      <c r="B239" s="14" t="s">
        <v>493</v>
      </c>
      <c r="C239" s="14" t="s">
        <v>35</v>
      </c>
      <c r="D239" s="14" t="s">
        <v>37</v>
      </c>
      <c r="E239" s="14" t="s">
        <v>49</v>
      </c>
      <c r="F239" s="35">
        <v>4759624</v>
      </c>
    </row>
    <row r="240" spans="1:6" s="3" customFormat="1" ht="27.75" customHeight="1">
      <c r="A240" s="24" t="s">
        <v>264</v>
      </c>
      <c r="B240" s="14" t="s">
        <v>89</v>
      </c>
      <c r="C240" s="14"/>
      <c r="D240" s="14"/>
      <c r="E240" s="14"/>
      <c r="F240" s="40">
        <f>F241</f>
        <v>900000</v>
      </c>
    </row>
    <row r="241" spans="1:6" s="3" customFormat="1" ht="21" customHeight="1">
      <c r="A241" s="18" t="s">
        <v>24</v>
      </c>
      <c r="B241" s="14" t="s">
        <v>90</v>
      </c>
      <c r="C241" s="14"/>
      <c r="D241" s="14"/>
      <c r="E241" s="14"/>
      <c r="F241" s="35">
        <f>SUM(F242:F243)</f>
        <v>900000</v>
      </c>
    </row>
    <row r="242" spans="1:6" s="3" customFormat="1" ht="25.5">
      <c r="A242" s="15" t="s">
        <v>92</v>
      </c>
      <c r="B242" s="14" t="s">
        <v>91</v>
      </c>
      <c r="C242" s="14" t="s">
        <v>36</v>
      </c>
      <c r="D242" s="14" t="s">
        <v>40</v>
      </c>
      <c r="E242" s="14" t="s">
        <v>49</v>
      </c>
      <c r="F242" s="35">
        <v>892000</v>
      </c>
    </row>
    <row r="243" spans="1:6" s="3" customFormat="1" ht="28.5" customHeight="1">
      <c r="A243" s="15" t="s">
        <v>496</v>
      </c>
      <c r="B243" s="14" t="s">
        <v>91</v>
      </c>
      <c r="C243" s="14" t="s">
        <v>36</v>
      </c>
      <c r="D243" s="14" t="s">
        <v>40</v>
      </c>
      <c r="E243" s="14" t="s">
        <v>53</v>
      </c>
      <c r="F243" s="35">
        <v>8000</v>
      </c>
    </row>
    <row r="244" spans="1:6" s="3" customFormat="1" ht="25.5">
      <c r="A244" s="24" t="s">
        <v>262</v>
      </c>
      <c r="B244" s="41" t="s">
        <v>88</v>
      </c>
      <c r="C244" s="14"/>
      <c r="D244" s="14"/>
      <c r="E244" s="14"/>
      <c r="F244" s="40">
        <f>SUM(F245+F251+F259+F261+F263)</f>
        <v>25678408.02</v>
      </c>
    </row>
    <row r="245" spans="1:15" s="3" customFormat="1" ht="13.5">
      <c r="A245" s="15" t="s">
        <v>60</v>
      </c>
      <c r="B245" s="14" t="s">
        <v>351</v>
      </c>
      <c r="C245" s="14"/>
      <c r="D245" s="14"/>
      <c r="E245" s="14"/>
      <c r="F245" s="35">
        <f>SUM(F246:F250)</f>
        <v>10759389.169999998</v>
      </c>
      <c r="H245" s="26"/>
      <c r="I245" s="26"/>
      <c r="J245" s="26"/>
      <c r="K245" s="26"/>
      <c r="L245" s="26"/>
      <c r="M245" s="27"/>
      <c r="N245" s="28"/>
      <c r="O245" s="29"/>
    </row>
    <row r="246" spans="1:15" s="3" customFormat="1" ht="51">
      <c r="A246" s="17" t="s">
        <v>65</v>
      </c>
      <c r="B246" s="14" t="s">
        <v>352</v>
      </c>
      <c r="C246" s="14" t="s">
        <v>40</v>
      </c>
      <c r="D246" s="14" t="s">
        <v>40</v>
      </c>
      <c r="E246" s="14" t="s">
        <v>48</v>
      </c>
      <c r="F246" s="35">
        <f>6820505.4+1800+2071970.12</f>
        <v>8894275.52</v>
      </c>
      <c r="H246" s="26"/>
      <c r="I246" s="26"/>
      <c r="J246" s="26"/>
      <c r="K246" s="26"/>
      <c r="L246" s="26"/>
      <c r="M246" s="27"/>
      <c r="N246" s="28"/>
      <c r="O246" s="29"/>
    </row>
    <row r="247" spans="1:15" s="3" customFormat="1" ht="38.25">
      <c r="A247" s="15" t="s">
        <v>66</v>
      </c>
      <c r="B247" s="14" t="s">
        <v>352</v>
      </c>
      <c r="C247" s="14" t="s">
        <v>40</v>
      </c>
      <c r="D247" s="14" t="s">
        <v>40</v>
      </c>
      <c r="E247" s="14" t="s">
        <v>49</v>
      </c>
      <c r="F247" s="35">
        <f>754875.08+858108.8</f>
        <v>1612983.88</v>
      </c>
      <c r="H247" s="26"/>
      <c r="I247" s="26"/>
      <c r="J247" s="26"/>
      <c r="K247" s="26"/>
      <c r="L247" s="26"/>
      <c r="M247" s="27"/>
      <c r="N247" s="28"/>
      <c r="O247" s="29"/>
    </row>
    <row r="248" spans="1:6" s="3" customFormat="1" ht="24" customHeight="1">
      <c r="A248" s="15" t="s">
        <v>67</v>
      </c>
      <c r="B248" s="14" t="s">
        <v>352</v>
      </c>
      <c r="C248" s="14" t="s">
        <v>40</v>
      </c>
      <c r="D248" s="14" t="s">
        <v>40</v>
      </c>
      <c r="E248" s="14" t="s">
        <v>51</v>
      </c>
      <c r="F248" s="35">
        <f>17498.84+186830.93</f>
        <v>204329.77</v>
      </c>
    </row>
    <row r="249" spans="1:6" s="3" customFormat="1" ht="54" customHeight="1">
      <c r="A249" s="21" t="s">
        <v>101</v>
      </c>
      <c r="B249" s="14" t="s">
        <v>102</v>
      </c>
      <c r="C249" s="14" t="s">
        <v>40</v>
      </c>
      <c r="D249" s="14" t="s">
        <v>40</v>
      </c>
      <c r="E249" s="14" t="s">
        <v>48</v>
      </c>
      <c r="F249" s="35">
        <v>33461</v>
      </c>
    </row>
    <row r="250" spans="1:6" s="3" customFormat="1" ht="40.5" customHeight="1">
      <c r="A250" s="21" t="s">
        <v>113</v>
      </c>
      <c r="B250" s="14" t="s">
        <v>102</v>
      </c>
      <c r="C250" s="14" t="s">
        <v>40</v>
      </c>
      <c r="D250" s="14" t="s">
        <v>40</v>
      </c>
      <c r="E250" s="14" t="s">
        <v>49</v>
      </c>
      <c r="F250" s="35">
        <v>14339</v>
      </c>
    </row>
    <row r="251" spans="1:6" s="3" customFormat="1" ht="13.5">
      <c r="A251" s="18" t="s">
        <v>24</v>
      </c>
      <c r="B251" s="14" t="s">
        <v>344</v>
      </c>
      <c r="C251" s="14"/>
      <c r="D251" s="14"/>
      <c r="E251" s="14"/>
      <c r="F251" s="35">
        <f>SUM(F252:F258)</f>
        <v>11284331.07</v>
      </c>
    </row>
    <row r="252" spans="1:6" s="2" customFormat="1" ht="25.5">
      <c r="A252" s="15" t="s">
        <v>436</v>
      </c>
      <c r="B252" s="14" t="s">
        <v>346</v>
      </c>
      <c r="C252" s="14" t="s">
        <v>40</v>
      </c>
      <c r="D252" s="14" t="s">
        <v>33</v>
      </c>
      <c r="E252" s="14" t="s">
        <v>49</v>
      </c>
      <c r="F252" s="35">
        <v>2106973</v>
      </c>
    </row>
    <row r="253" spans="1:6" s="2" customFormat="1" ht="25.5">
      <c r="A253" s="15" t="s">
        <v>437</v>
      </c>
      <c r="B253" s="14" t="s">
        <v>347</v>
      </c>
      <c r="C253" s="14" t="s">
        <v>40</v>
      </c>
      <c r="D253" s="14" t="s">
        <v>33</v>
      </c>
      <c r="E253" s="14" t="s">
        <v>49</v>
      </c>
      <c r="F253" s="35">
        <v>3976999.07</v>
      </c>
    </row>
    <row r="254" spans="1:6" s="2" customFormat="1" ht="15" customHeight="1">
      <c r="A254" s="15" t="s">
        <v>438</v>
      </c>
      <c r="B254" s="14" t="s">
        <v>348</v>
      </c>
      <c r="C254" s="14" t="s">
        <v>40</v>
      </c>
      <c r="D254" s="14" t="s">
        <v>33</v>
      </c>
      <c r="E254" s="14" t="s">
        <v>49</v>
      </c>
      <c r="F254" s="35">
        <v>347593.94</v>
      </c>
    </row>
    <row r="255" spans="1:6" s="2" customFormat="1" ht="25.5">
      <c r="A255" s="15" t="s">
        <v>439</v>
      </c>
      <c r="B255" s="14" t="s">
        <v>349</v>
      </c>
      <c r="C255" s="14" t="s">
        <v>40</v>
      </c>
      <c r="D255" s="14" t="s">
        <v>33</v>
      </c>
      <c r="E255" s="14" t="s">
        <v>49</v>
      </c>
      <c r="F255" s="35">
        <v>702730</v>
      </c>
    </row>
    <row r="256" spans="1:6" s="2" customFormat="1" ht="25.5">
      <c r="A256" s="15" t="s">
        <v>440</v>
      </c>
      <c r="B256" s="14" t="s">
        <v>350</v>
      </c>
      <c r="C256" s="14" t="s">
        <v>40</v>
      </c>
      <c r="D256" s="14" t="s">
        <v>33</v>
      </c>
      <c r="E256" s="14" t="s">
        <v>49</v>
      </c>
      <c r="F256" s="35">
        <v>4015835.06</v>
      </c>
    </row>
    <row r="257" spans="1:6" s="2" customFormat="1" ht="13.5">
      <c r="A257" s="15" t="s">
        <v>520</v>
      </c>
      <c r="B257" s="14" t="s">
        <v>350</v>
      </c>
      <c r="C257" s="14" t="s">
        <v>40</v>
      </c>
      <c r="D257" s="14" t="s">
        <v>33</v>
      </c>
      <c r="E257" s="14" t="s">
        <v>51</v>
      </c>
      <c r="F257" s="35">
        <v>35000</v>
      </c>
    </row>
    <row r="258" spans="1:6" s="2" customFormat="1" ht="51">
      <c r="A258" s="17" t="s">
        <v>435</v>
      </c>
      <c r="B258" s="14" t="s">
        <v>345</v>
      </c>
      <c r="C258" s="14" t="s">
        <v>35</v>
      </c>
      <c r="D258" s="14" t="s">
        <v>40</v>
      </c>
      <c r="E258" s="14" t="s">
        <v>49</v>
      </c>
      <c r="F258" s="35">
        <v>99200</v>
      </c>
    </row>
    <row r="259" spans="1:6" s="2" customFormat="1" ht="17.25" customHeight="1">
      <c r="A259" s="18" t="s">
        <v>47</v>
      </c>
      <c r="B259" s="14" t="s">
        <v>353</v>
      </c>
      <c r="C259" s="14"/>
      <c r="D259" s="14"/>
      <c r="E259" s="14"/>
      <c r="F259" s="35">
        <f>SUM(F260:F260)</f>
        <v>1347167.59</v>
      </c>
    </row>
    <row r="260" spans="1:6" s="2" customFormat="1" ht="25.5">
      <c r="A260" s="21" t="s">
        <v>161</v>
      </c>
      <c r="B260" s="14" t="s">
        <v>354</v>
      </c>
      <c r="C260" s="14" t="s">
        <v>40</v>
      </c>
      <c r="D260" s="14" t="s">
        <v>40</v>
      </c>
      <c r="E260" s="14" t="s">
        <v>53</v>
      </c>
      <c r="F260" s="35">
        <v>1347167.59</v>
      </c>
    </row>
    <row r="261" spans="1:6" s="2" customFormat="1" ht="24" customHeight="1">
      <c r="A261" s="15" t="s">
        <v>76</v>
      </c>
      <c r="B261" s="14" t="s">
        <v>428</v>
      </c>
      <c r="C261" s="14"/>
      <c r="D261" s="14"/>
      <c r="E261" s="14"/>
      <c r="F261" s="35">
        <f>SUM(F262)</f>
        <v>1495044.96</v>
      </c>
    </row>
    <row r="262" spans="1:6" s="2" customFormat="1" ht="18" customHeight="1">
      <c r="A262" s="15" t="s">
        <v>427</v>
      </c>
      <c r="B262" s="14" t="s">
        <v>429</v>
      </c>
      <c r="C262" s="14" t="s">
        <v>40</v>
      </c>
      <c r="D262" s="14" t="s">
        <v>34</v>
      </c>
      <c r="E262" s="14" t="s">
        <v>51</v>
      </c>
      <c r="F262" s="35">
        <f>700000+21574.96+773470</f>
        <v>1495044.96</v>
      </c>
    </row>
    <row r="263" spans="1:6" s="2" customFormat="1" ht="13.5">
      <c r="A263" s="15" t="s">
        <v>50</v>
      </c>
      <c r="B263" s="14" t="s">
        <v>355</v>
      </c>
      <c r="C263" s="14"/>
      <c r="D263" s="14"/>
      <c r="E263" s="14"/>
      <c r="F263" s="35">
        <f>SUM(F264)</f>
        <v>792475.23</v>
      </c>
    </row>
    <row r="264" spans="1:6" s="2" customFormat="1" ht="25.5">
      <c r="A264" s="15" t="s">
        <v>67</v>
      </c>
      <c r="B264" s="14" t="s">
        <v>356</v>
      </c>
      <c r="C264" s="14" t="s">
        <v>40</v>
      </c>
      <c r="D264" s="14" t="s">
        <v>40</v>
      </c>
      <c r="E264" s="14" t="s">
        <v>51</v>
      </c>
      <c r="F264" s="35">
        <v>792475.23</v>
      </c>
    </row>
    <row r="265" spans="1:6" s="3" customFormat="1" ht="25.5">
      <c r="A265" s="24" t="s">
        <v>265</v>
      </c>
      <c r="B265" s="41" t="s">
        <v>130</v>
      </c>
      <c r="C265" s="14"/>
      <c r="D265" s="14"/>
      <c r="E265" s="14"/>
      <c r="F265" s="40">
        <f>SUM(F266+F270+F272+F281+F285+F277)</f>
        <v>47117866</v>
      </c>
    </row>
    <row r="266" spans="1:15" s="3" customFormat="1" ht="13.5">
      <c r="A266" s="15" t="s">
        <v>60</v>
      </c>
      <c r="B266" s="14" t="s">
        <v>370</v>
      </c>
      <c r="C266" s="14"/>
      <c r="D266" s="14"/>
      <c r="E266" s="14"/>
      <c r="F266" s="35">
        <f>SUM(F267:F269)</f>
        <v>1285380</v>
      </c>
      <c r="H266" s="26"/>
      <c r="I266" s="26"/>
      <c r="J266" s="26"/>
      <c r="K266" s="26"/>
      <c r="L266" s="26"/>
      <c r="M266" s="34"/>
      <c r="N266" s="28"/>
      <c r="O266" s="29"/>
    </row>
    <row r="267" spans="1:15" s="3" customFormat="1" ht="51">
      <c r="A267" s="17" t="s">
        <v>65</v>
      </c>
      <c r="B267" s="14" t="s">
        <v>371</v>
      </c>
      <c r="C267" s="14" t="s">
        <v>38</v>
      </c>
      <c r="D267" s="14" t="s">
        <v>35</v>
      </c>
      <c r="E267" s="14" t="s">
        <v>48</v>
      </c>
      <c r="F267" s="35">
        <f>916705+276762-32550</f>
        <v>1160917</v>
      </c>
      <c r="H267" s="26"/>
      <c r="I267" s="26"/>
      <c r="J267" s="26"/>
      <c r="K267" s="26"/>
      <c r="L267" s="26"/>
      <c r="M267" s="34"/>
      <c r="N267" s="28"/>
      <c r="O267" s="29"/>
    </row>
    <row r="268" spans="1:15" s="3" customFormat="1" ht="38.25">
      <c r="A268" s="15" t="s">
        <v>66</v>
      </c>
      <c r="B268" s="14" t="s">
        <v>371</v>
      </c>
      <c r="C268" s="14" t="s">
        <v>38</v>
      </c>
      <c r="D268" s="14" t="s">
        <v>35</v>
      </c>
      <c r="E268" s="14" t="s">
        <v>49</v>
      </c>
      <c r="F268" s="35">
        <f>36340+87903.22</f>
        <v>124243.22</v>
      </c>
      <c r="H268" s="26"/>
      <c r="I268" s="26"/>
      <c r="J268" s="26"/>
      <c r="K268" s="26"/>
      <c r="L268" s="26"/>
      <c r="M268" s="34"/>
      <c r="N268" s="28"/>
      <c r="O268" s="29"/>
    </row>
    <row r="269" spans="1:15" s="3" customFormat="1" ht="25.5">
      <c r="A269" s="15" t="s">
        <v>67</v>
      </c>
      <c r="B269" s="14" t="s">
        <v>371</v>
      </c>
      <c r="C269" s="14" t="s">
        <v>38</v>
      </c>
      <c r="D269" s="14" t="s">
        <v>35</v>
      </c>
      <c r="E269" s="14" t="s">
        <v>51</v>
      </c>
      <c r="F269" s="35">
        <f>65.42+154.36</f>
        <v>219.78000000000003</v>
      </c>
      <c r="H269" s="26"/>
      <c r="I269" s="26"/>
      <c r="J269" s="26"/>
      <c r="K269" s="26"/>
      <c r="L269" s="26"/>
      <c r="M269" s="34"/>
      <c r="N269" s="28"/>
      <c r="O269" s="29"/>
    </row>
    <row r="270" spans="1:6" s="3" customFormat="1" ht="13.5">
      <c r="A270" s="20" t="s">
        <v>24</v>
      </c>
      <c r="B270" s="14" t="s">
        <v>360</v>
      </c>
      <c r="C270" s="14"/>
      <c r="D270" s="14"/>
      <c r="E270" s="14"/>
      <c r="F270" s="35">
        <f>SUM(F271)</f>
        <v>421320</v>
      </c>
    </row>
    <row r="271" spans="1:6" s="3" customFormat="1" ht="25.5">
      <c r="A271" s="15" t="s">
        <v>443</v>
      </c>
      <c r="B271" s="14" t="s">
        <v>361</v>
      </c>
      <c r="C271" s="14" t="s">
        <v>38</v>
      </c>
      <c r="D271" s="14" t="s">
        <v>32</v>
      </c>
      <c r="E271" s="14" t="s">
        <v>49</v>
      </c>
      <c r="F271" s="35">
        <v>421320</v>
      </c>
    </row>
    <row r="272" spans="1:6" s="3" customFormat="1" ht="19.5" customHeight="1">
      <c r="A272" s="21" t="s">
        <v>47</v>
      </c>
      <c r="B272" s="14" t="s">
        <v>357</v>
      </c>
      <c r="C272" s="14"/>
      <c r="D272" s="14"/>
      <c r="E272" s="14"/>
      <c r="F272" s="35">
        <f>SUM(F273:F276)</f>
        <v>36242448</v>
      </c>
    </row>
    <row r="273" spans="1:6" s="3" customFormat="1" ht="51" customHeight="1">
      <c r="A273" s="21" t="s">
        <v>441</v>
      </c>
      <c r="B273" s="14" t="s">
        <v>358</v>
      </c>
      <c r="C273" s="14" t="s">
        <v>41</v>
      </c>
      <c r="D273" s="14" t="s">
        <v>33</v>
      </c>
      <c r="E273" s="14" t="s">
        <v>53</v>
      </c>
      <c r="F273" s="35">
        <v>5718800</v>
      </c>
    </row>
    <row r="274" spans="1:6" s="3" customFormat="1" ht="42" customHeight="1">
      <c r="A274" s="21" t="s">
        <v>442</v>
      </c>
      <c r="B274" s="14" t="s">
        <v>359</v>
      </c>
      <c r="C274" s="14" t="s">
        <v>41</v>
      </c>
      <c r="D274" s="14" t="s">
        <v>33</v>
      </c>
      <c r="E274" s="14" t="s">
        <v>53</v>
      </c>
      <c r="F274" s="35">
        <f>17149655+558848+780732</f>
        <v>18489235</v>
      </c>
    </row>
    <row r="275" spans="1:6" s="3" customFormat="1" ht="24.75" customHeight="1">
      <c r="A275" s="21" t="s">
        <v>444</v>
      </c>
      <c r="B275" s="14" t="s">
        <v>362</v>
      </c>
      <c r="C275" s="14" t="s">
        <v>38</v>
      </c>
      <c r="D275" s="14" t="s">
        <v>32</v>
      </c>
      <c r="E275" s="14" t="s">
        <v>53</v>
      </c>
      <c r="F275" s="35">
        <f>9733849+101061+142054</f>
        <v>9976964</v>
      </c>
    </row>
    <row r="276" spans="1:6" s="3" customFormat="1" ht="24" customHeight="1">
      <c r="A276" s="21" t="s">
        <v>445</v>
      </c>
      <c r="B276" s="14" t="s">
        <v>363</v>
      </c>
      <c r="C276" s="14" t="s">
        <v>38</v>
      </c>
      <c r="D276" s="14" t="s">
        <v>32</v>
      </c>
      <c r="E276" s="14" t="s">
        <v>53</v>
      </c>
      <c r="F276" s="35">
        <f>1492195+236357+328897</f>
        <v>2057449</v>
      </c>
    </row>
    <row r="277" spans="1:6" s="3" customFormat="1" ht="15.75" customHeight="1">
      <c r="A277" s="21" t="s">
        <v>115</v>
      </c>
      <c r="B277" s="14" t="s">
        <v>194</v>
      </c>
      <c r="C277" s="14"/>
      <c r="D277" s="14"/>
      <c r="E277" s="14"/>
      <c r="F277" s="35">
        <f>F279+F278+F280</f>
        <v>600257</v>
      </c>
    </row>
    <row r="278" spans="1:6" s="3" customFormat="1" ht="39" customHeight="1">
      <c r="A278" s="21" t="s">
        <v>442</v>
      </c>
      <c r="B278" s="14" t="s">
        <v>195</v>
      </c>
      <c r="C278" s="14" t="s">
        <v>41</v>
      </c>
      <c r="D278" s="14" t="s">
        <v>33</v>
      </c>
      <c r="E278" s="14" t="s">
        <v>53</v>
      </c>
      <c r="F278" s="35">
        <f>44400+55900</f>
        <v>100300</v>
      </c>
    </row>
    <row r="279" spans="1:6" s="3" customFormat="1" ht="24" customHeight="1">
      <c r="A279" s="21" t="s">
        <v>444</v>
      </c>
      <c r="B279" s="14" t="s">
        <v>193</v>
      </c>
      <c r="C279" s="14" t="s">
        <v>38</v>
      </c>
      <c r="D279" s="14" t="s">
        <v>32</v>
      </c>
      <c r="E279" s="14" t="s">
        <v>53</v>
      </c>
      <c r="F279" s="35">
        <v>439957</v>
      </c>
    </row>
    <row r="280" spans="1:6" s="3" customFormat="1" ht="24" customHeight="1">
      <c r="A280" s="21" t="s">
        <v>445</v>
      </c>
      <c r="B280" s="14" t="s">
        <v>208</v>
      </c>
      <c r="C280" s="14" t="s">
        <v>38</v>
      </c>
      <c r="D280" s="14" t="s">
        <v>32</v>
      </c>
      <c r="E280" s="14" t="s">
        <v>53</v>
      </c>
      <c r="F280" s="35">
        <v>60000</v>
      </c>
    </row>
    <row r="281" spans="1:6" s="3" customFormat="1" ht="14.25" customHeight="1">
      <c r="A281" s="15" t="s">
        <v>50</v>
      </c>
      <c r="B281" s="14" t="s">
        <v>364</v>
      </c>
      <c r="C281" s="14"/>
      <c r="D281" s="14"/>
      <c r="E281" s="14"/>
      <c r="F281" s="35">
        <f>SUM(F282:F284)</f>
        <v>20788</v>
      </c>
    </row>
    <row r="282" spans="1:16" s="3" customFormat="1" ht="30.75" customHeight="1">
      <c r="A282" s="15" t="s">
        <v>67</v>
      </c>
      <c r="B282" s="14" t="s">
        <v>372</v>
      </c>
      <c r="C282" s="14" t="s">
        <v>38</v>
      </c>
      <c r="D282" s="14" t="s">
        <v>35</v>
      </c>
      <c r="E282" s="14" t="s">
        <v>51</v>
      </c>
      <c r="F282" s="35">
        <v>535</v>
      </c>
      <c r="I282" s="26"/>
      <c r="J282" s="26"/>
      <c r="K282" s="26"/>
      <c r="L282" s="26"/>
      <c r="M282" s="26"/>
      <c r="N282" s="34"/>
      <c r="O282" s="28"/>
      <c r="P282" s="29"/>
    </row>
    <row r="283" spans="1:16" s="3" customFormat="1" ht="13.5">
      <c r="A283" s="15" t="s">
        <v>446</v>
      </c>
      <c r="B283" s="14" t="s">
        <v>365</v>
      </c>
      <c r="C283" s="14" t="s">
        <v>38</v>
      </c>
      <c r="D283" s="14" t="s">
        <v>32</v>
      </c>
      <c r="E283" s="14" t="s">
        <v>51</v>
      </c>
      <c r="F283" s="35">
        <v>10629</v>
      </c>
      <c r="I283" s="26"/>
      <c r="J283" s="26"/>
      <c r="K283" s="26"/>
      <c r="L283" s="26"/>
      <c r="M283" s="26"/>
      <c r="N283" s="34"/>
      <c r="O283" s="28"/>
      <c r="P283" s="29"/>
    </row>
    <row r="284" spans="1:16" s="3" customFormat="1" ht="25.5">
      <c r="A284" s="15" t="s">
        <v>447</v>
      </c>
      <c r="B284" s="14" t="s">
        <v>366</v>
      </c>
      <c r="C284" s="14" t="s">
        <v>38</v>
      </c>
      <c r="D284" s="14" t="s">
        <v>32</v>
      </c>
      <c r="E284" s="14" t="s">
        <v>51</v>
      </c>
      <c r="F284" s="35">
        <v>9624</v>
      </c>
      <c r="I284" s="26"/>
      <c r="J284" s="26"/>
      <c r="K284" s="26"/>
      <c r="L284" s="26"/>
      <c r="M284" s="26"/>
      <c r="N284" s="34"/>
      <c r="O284" s="28"/>
      <c r="P284" s="29"/>
    </row>
    <row r="285" spans="1:6" s="3" customFormat="1" ht="18" customHeight="1">
      <c r="A285" s="20" t="s">
        <v>46</v>
      </c>
      <c r="B285" s="14" t="s">
        <v>367</v>
      </c>
      <c r="C285" s="14"/>
      <c r="D285" s="14"/>
      <c r="E285" s="14"/>
      <c r="F285" s="35">
        <f>SUM(F286:F293)</f>
        <v>8547673</v>
      </c>
    </row>
    <row r="286" spans="1:6" s="3" customFormat="1" ht="51" customHeight="1">
      <c r="A286" s="17" t="s">
        <v>152</v>
      </c>
      <c r="B286" s="14" t="s">
        <v>373</v>
      </c>
      <c r="C286" s="14" t="s">
        <v>38</v>
      </c>
      <c r="D286" s="14" t="s">
        <v>35</v>
      </c>
      <c r="E286" s="14" t="s">
        <v>48</v>
      </c>
      <c r="F286" s="35">
        <f>1525737.29+3836.2+647173.71</f>
        <v>2176747.2</v>
      </c>
    </row>
    <row r="287" spans="1:6" s="3" customFormat="1" ht="41.25" customHeight="1">
      <c r="A287" s="17" t="s">
        <v>154</v>
      </c>
      <c r="B287" s="14" t="s">
        <v>373</v>
      </c>
      <c r="C287" s="14" t="s">
        <v>38</v>
      </c>
      <c r="D287" s="14" t="s">
        <v>35</v>
      </c>
      <c r="E287" s="14" t="s">
        <v>49</v>
      </c>
      <c r="F287" s="35">
        <f>50174+35071.8</f>
        <v>85245.8</v>
      </c>
    </row>
    <row r="288" spans="1:6" s="3" customFormat="1" ht="42.75" customHeight="1">
      <c r="A288" s="15" t="s">
        <v>448</v>
      </c>
      <c r="B288" s="14" t="s">
        <v>368</v>
      </c>
      <c r="C288" s="14" t="s">
        <v>38</v>
      </c>
      <c r="D288" s="14" t="s">
        <v>32</v>
      </c>
      <c r="E288" s="14" t="s">
        <v>48</v>
      </c>
      <c r="F288" s="35">
        <f>1042381.02+458+314354+25000+7550</f>
        <v>1389743.02</v>
      </c>
    </row>
    <row r="289" spans="1:6" s="3" customFormat="1" ht="24" customHeight="1">
      <c r="A289" s="15" t="s">
        <v>449</v>
      </c>
      <c r="B289" s="14" t="s">
        <v>368</v>
      </c>
      <c r="C289" s="14" t="s">
        <v>38</v>
      </c>
      <c r="D289" s="14" t="s">
        <v>32</v>
      </c>
      <c r="E289" s="14" t="s">
        <v>49</v>
      </c>
      <c r="F289" s="35">
        <f>201724+134360.31</f>
        <v>336084.31</v>
      </c>
    </row>
    <row r="290" spans="1:6" s="5" customFormat="1" ht="16.5" customHeight="1">
      <c r="A290" s="15" t="s">
        <v>446</v>
      </c>
      <c r="B290" s="14" t="s">
        <v>368</v>
      </c>
      <c r="C290" s="14" t="s">
        <v>38</v>
      </c>
      <c r="D290" s="14" t="s">
        <v>32</v>
      </c>
      <c r="E290" s="14" t="s">
        <v>51</v>
      </c>
      <c r="F290" s="35">
        <f>27.59+1.08</f>
        <v>28.67</v>
      </c>
    </row>
    <row r="291" spans="1:6" s="2" customFormat="1" ht="51">
      <c r="A291" s="17" t="s">
        <v>450</v>
      </c>
      <c r="B291" s="14" t="s">
        <v>369</v>
      </c>
      <c r="C291" s="14" t="s">
        <v>38</v>
      </c>
      <c r="D291" s="14" t="s">
        <v>32</v>
      </c>
      <c r="E291" s="14" t="s">
        <v>48</v>
      </c>
      <c r="F291" s="35">
        <f>2845871+859453</f>
        <v>3705324</v>
      </c>
    </row>
    <row r="292" spans="1:6" s="2" customFormat="1" ht="24" customHeight="1">
      <c r="A292" s="15" t="s">
        <v>451</v>
      </c>
      <c r="B292" s="14" t="s">
        <v>369</v>
      </c>
      <c r="C292" s="14" t="s">
        <v>38</v>
      </c>
      <c r="D292" s="14" t="s">
        <v>32</v>
      </c>
      <c r="E292" s="14" t="s">
        <v>49</v>
      </c>
      <c r="F292" s="35">
        <f>47851.08+806496.28</f>
        <v>854347.36</v>
      </c>
    </row>
    <row r="293" spans="1:6" s="2" customFormat="1" ht="25.5">
      <c r="A293" s="15" t="s">
        <v>447</v>
      </c>
      <c r="B293" s="14" t="s">
        <v>369</v>
      </c>
      <c r="C293" s="14" t="s">
        <v>38</v>
      </c>
      <c r="D293" s="14" t="s">
        <v>32</v>
      </c>
      <c r="E293" s="14" t="s">
        <v>51</v>
      </c>
      <c r="F293" s="35">
        <v>152.64</v>
      </c>
    </row>
    <row r="294" spans="1:6" ht="25.5">
      <c r="A294" s="22" t="s">
        <v>263</v>
      </c>
      <c r="B294" s="41" t="s">
        <v>173</v>
      </c>
      <c r="C294" s="14"/>
      <c r="D294" s="14"/>
      <c r="E294" s="14"/>
      <c r="F294" s="40">
        <f>SUM(F295+F297)</f>
        <v>994000</v>
      </c>
    </row>
    <row r="295" spans="1:6" ht="17.25" customHeight="1">
      <c r="A295" s="18" t="s">
        <v>24</v>
      </c>
      <c r="B295" s="14" t="s">
        <v>469</v>
      </c>
      <c r="C295" s="14"/>
      <c r="D295" s="14"/>
      <c r="E295" s="14"/>
      <c r="F295" s="35">
        <f>SUM(F296)</f>
        <v>90000</v>
      </c>
    </row>
    <row r="296" spans="1:6" ht="27.75" customHeight="1">
      <c r="A296" s="21" t="s">
        <v>452</v>
      </c>
      <c r="B296" s="14" t="s">
        <v>470</v>
      </c>
      <c r="C296" s="14" t="s">
        <v>41</v>
      </c>
      <c r="D296" s="14" t="s">
        <v>41</v>
      </c>
      <c r="E296" s="14" t="s">
        <v>53</v>
      </c>
      <c r="F296" s="35">
        <v>90000</v>
      </c>
    </row>
    <row r="297" spans="1:6" ht="25.5">
      <c r="A297" s="15" t="s">
        <v>142</v>
      </c>
      <c r="B297" s="14" t="s">
        <v>465</v>
      </c>
      <c r="C297" s="14"/>
      <c r="D297" s="14"/>
      <c r="E297" s="14"/>
      <c r="F297" s="35">
        <f>SUM(F298:F300)</f>
        <v>904000</v>
      </c>
    </row>
    <row r="298" spans="1:6" ht="37.5" customHeight="1">
      <c r="A298" s="21" t="s">
        <v>134</v>
      </c>
      <c r="B298" s="14" t="s">
        <v>375</v>
      </c>
      <c r="C298" s="14" t="s">
        <v>374</v>
      </c>
      <c r="D298" s="14" t="s">
        <v>34</v>
      </c>
      <c r="E298" s="14" t="s">
        <v>53</v>
      </c>
      <c r="F298" s="35">
        <v>200000</v>
      </c>
    </row>
    <row r="299" spans="1:18" ht="26.25" customHeight="1">
      <c r="A299" s="21" t="s">
        <v>145</v>
      </c>
      <c r="B299" s="14" t="s">
        <v>466</v>
      </c>
      <c r="C299" s="14" t="s">
        <v>39</v>
      </c>
      <c r="D299" s="14" t="s">
        <v>36</v>
      </c>
      <c r="E299" s="14" t="s">
        <v>53</v>
      </c>
      <c r="F299" s="35">
        <f>539000+75000</f>
        <v>614000</v>
      </c>
      <c r="I299" s="26"/>
      <c r="J299" s="26"/>
      <c r="K299" s="26"/>
      <c r="L299" s="26"/>
      <c r="M299" s="26"/>
      <c r="N299" s="27"/>
      <c r="O299" s="28"/>
      <c r="P299" s="29"/>
      <c r="Q299" s="28"/>
      <c r="R299" s="29"/>
    </row>
    <row r="300" spans="1:18" ht="38.25">
      <c r="A300" s="21" t="s">
        <v>135</v>
      </c>
      <c r="B300" s="14" t="s">
        <v>467</v>
      </c>
      <c r="C300" s="14" t="s">
        <v>39</v>
      </c>
      <c r="D300" s="14" t="s">
        <v>36</v>
      </c>
      <c r="E300" s="14" t="s">
        <v>53</v>
      </c>
      <c r="F300" s="35">
        <v>90000</v>
      </c>
      <c r="I300" s="26"/>
      <c r="J300" s="26"/>
      <c r="K300" s="26"/>
      <c r="L300" s="26"/>
      <c r="M300" s="26"/>
      <c r="N300" s="34"/>
      <c r="O300" s="28"/>
      <c r="P300" s="29"/>
      <c r="Q300" s="30"/>
      <c r="R300" s="30"/>
    </row>
    <row r="301" spans="1:18" ht="32.25" customHeight="1">
      <c r="A301" s="22" t="s">
        <v>500</v>
      </c>
      <c r="B301" s="41" t="s">
        <v>497</v>
      </c>
      <c r="C301" s="14"/>
      <c r="D301" s="14"/>
      <c r="E301" s="14"/>
      <c r="F301" s="40">
        <f>F302</f>
        <v>15663300</v>
      </c>
      <c r="I301" s="26"/>
      <c r="J301" s="26"/>
      <c r="K301" s="26"/>
      <c r="L301" s="26"/>
      <c r="M301" s="26"/>
      <c r="N301" s="34"/>
      <c r="O301" s="28"/>
      <c r="P301" s="29"/>
      <c r="Q301" s="30"/>
      <c r="R301" s="30"/>
    </row>
    <row r="302" spans="1:18" ht="13.5">
      <c r="A302" s="18" t="s">
        <v>24</v>
      </c>
      <c r="B302" s="14" t="s">
        <v>498</v>
      </c>
      <c r="C302" s="14"/>
      <c r="D302" s="14"/>
      <c r="E302" s="14"/>
      <c r="F302" s="35">
        <f>F303</f>
        <v>15663300</v>
      </c>
      <c r="I302" s="26"/>
      <c r="J302" s="26"/>
      <c r="K302" s="26"/>
      <c r="L302" s="26"/>
      <c r="M302" s="26"/>
      <c r="N302" s="34"/>
      <c r="O302" s="28"/>
      <c r="P302" s="29"/>
      <c r="Q302" s="30"/>
      <c r="R302" s="30"/>
    </row>
    <row r="303" spans="1:18" ht="25.5">
      <c r="A303" s="21" t="s">
        <v>501</v>
      </c>
      <c r="B303" s="14" t="s">
        <v>499</v>
      </c>
      <c r="C303" s="14" t="s">
        <v>40</v>
      </c>
      <c r="D303" s="14" t="s">
        <v>33</v>
      </c>
      <c r="E303" s="14" t="s">
        <v>49</v>
      </c>
      <c r="F303" s="35">
        <v>15663300</v>
      </c>
      <c r="I303" s="26"/>
      <c r="J303" s="26"/>
      <c r="K303" s="26"/>
      <c r="L303" s="26"/>
      <c r="M303" s="26"/>
      <c r="N303" s="34"/>
      <c r="O303" s="28"/>
      <c r="P303" s="29"/>
      <c r="Q303" s="30"/>
      <c r="R303" s="30"/>
    </row>
    <row r="304" spans="1:16" ht="13.5">
      <c r="A304" s="16" t="s">
        <v>59</v>
      </c>
      <c r="B304" s="41" t="s">
        <v>58</v>
      </c>
      <c r="C304" s="14"/>
      <c r="D304" s="14"/>
      <c r="E304" s="14"/>
      <c r="F304" s="40">
        <f>SUM(F305+F331)</f>
        <v>77089390.28</v>
      </c>
      <c r="I304" s="30"/>
      <c r="J304" s="30"/>
      <c r="K304" s="30"/>
      <c r="L304" s="30"/>
      <c r="M304" s="30"/>
      <c r="N304" s="30"/>
      <c r="O304" s="30"/>
      <c r="P304" s="30"/>
    </row>
    <row r="305" spans="1:6" ht="13.5">
      <c r="A305" s="15" t="s">
        <v>60</v>
      </c>
      <c r="B305" s="14" t="s">
        <v>61</v>
      </c>
      <c r="C305" s="14"/>
      <c r="D305" s="14"/>
      <c r="E305" s="14"/>
      <c r="F305" s="35">
        <f>SUM(F306:F330)</f>
        <v>76809800.6</v>
      </c>
    </row>
    <row r="306" spans="1:6" ht="13.5">
      <c r="A306" s="15" t="s">
        <v>461</v>
      </c>
      <c r="B306" s="14" t="s">
        <v>380</v>
      </c>
      <c r="C306" s="14" t="s">
        <v>32</v>
      </c>
      <c r="D306" s="14" t="s">
        <v>44</v>
      </c>
      <c r="E306" s="14" t="s">
        <v>51</v>
      </c>
      <c r="F306" s="35">
        <v>13774999.43</v>
      </c>
    </row>
    <row r="307" spans="1:6" ht="13.5">
      <c r="A307" s="15"/>
      <c r="B307" s="14" t="s">
        <v>380</v>
      </c>
      <c r="C307" s="14" t="s">
        <v>40</v>
      </c>
      <c r="D307" s="14" t="s">
        <v>34</v>
      </c>
      <c r="E307" s="14" t="s">
        <v>86</v>
      </c>
      <c r="F307" s="35">
        <v>12768126.62</v>
      </c>
    </row>
    <row r="308" spans="1:6" ht="13.5">
      <c r="A308" s="15" t="s">
        <v>461</v>
      </c>
      <c r="B308" s="14" t="s">
        <v>380</v>
      </c>
      <c r="C308" s="14" t="s">
        <v>40</v>
      </c>
      <c r="D308" s="14" t="s">
        <v>34</v>
      </c>
      <c r="E308" s="14" t="s">
        <v>51</v>
      </c>
      <c r="F308" s="35">
        <f>3488184.61+82668.42</f>
        <v>3570853.03</v>
      </c>
    </row>
    <row r="309" spans="1:6" ht="13.5">
      <c r="A309" s="15" t="s">
        <v>461</v>
      </c>
      <c r="B309" s="14" t="s">
        <v>380</v>
      </c>
      <c r="C309" s="14" t="s">
        <v>40</v>
      </c>
      <c r="D309" s="14" t="s">
        <v>33</v>
      </c>
      <c r="E309" s="14" t="s">
        <v>51</v>
      </c>
      <c r="F309" s="35">
        <v>89560.46</v>
      </c>
    </row>
    <row r="310" spans="1:6" ht="13.5">
      <c r="A310" s="15" t="s">
        <v>18</v>
      </c>
      <c r="B310" s="14" t="s">
        <v>144</v>
      </c>
      <c r="C310" s="14" t="s">
        <v>32</v>
      </c>
      <c r="D310" s="14" t="s">
        <v>43</v>
      </c>
      <c r="E310" s="14" t="s">
        <v>51</v>
      </c>
      <c r="F310" s="35">
        <f>8486+5000+132</f>
        <v>13618</v>
      </c>
    </row>
    <row r="311" spans="1:6" ht="38.25">
      <c r="A311" s="15" t="s">
        <v>64</v>
      </c>
      <c r="B311" s="14" t="s">
        <v>63</v>
      </c>
      <c r="C311" s="14" t="s">
        <v>32</v>
      </c>
      <c r="D311" s="14" t="s">
        <v>34</v>
      </c>
      <c r="E311" s="14" t="s">
        <v>48</v>
      </c>
      <c r="F311" s="35">
        <v>1563537.27</v>
      </c>
    </row>
    <row r="312" spans="1:6" ht="51">
      <c r="A312" s="17" t="s">
        <v>65</v>
      </c>
      <c r="B312" s="14" t="s">
        <v>62</v>
      </c>
      <c r="C312" s="14" t="s">
        <v>32</v>
      </c>
      <c r="D312" s="14" t="s">
        <v>33</v>
      </c>
      <c r="E312" s="14" t="s">
        <v>48</v>
      </c>
      <c r="F312" s="35">
        <f>1587388.16+3515.22+477005</f>
        <v>2067908.38</v>
      </c>
    </row>
    <row r="313" spans="1:6" ht="38.25">
      <c r="A313" s="15" t="s">
        <v>66</v>
      </c>
      <c r="B313" s="14" t="s">
        <v>62</v>
      </c>
      <c r="C313" s="14" t="s">
        <v>32</v>
      </c>
      <c r="D313" s="14" t="s">
        <v>33</v>
      </c>
      <c r="E313" s="14" t="s">
        <v>49</v>
      </c>
      <c r="F313" s="35">
        <f>63575.26+644367.78</f>
        <v>707943.04</v>
      </c>
    </row>
    <row r="314" spans="1:16" ht="25.5">
      <c r="A314" s="15" t="s">
        <v>453</v>
      </c>
      <c r="B314" s="14" t="s">
        <v>62</v>
      </c>
      <c r="C314" s="14" t="s">
        <v>32</v>
      </c>
      <c r="D314" s="14" t="s">
        <v>33</v>
      </c>
      <c r="E314" s="14" t="s">
        <v>51</v>
      </c>
      <c r="F314" s="35">
        <v>515000</v>
      </c>
      <c r="I314" s="26"/>
      <c r="J314" s="26"/>
      <c r="K314" s="26"/>
      <c r="L314" s="26"/>
      <c r="M314" s="26"/>
      <c r="N314" s="27"/>
      <c r="O314" s="28"/>
      <c r="P314" s="32"/>
    </row>
    <row r="315" spans="1:16" ht="51">
      <c r="A315" s="17" t="s">
        <v>148</v>
      </c>
      <c r="B315" s="14" t="s">
        <v>62</v>
      </c>
      <c r="C315" s="14" t="s">
        <v>32</v>
      </c>
      <c r="D315" s="14" t="s">
        <v>35</v>
      </c>
      <c r="E315" s="14" t="s">
        <v>48</v>
      </c>
      <c r="F315" s="35">
        <f>18535644.65+283778.58+5567510.71</f>
        <v>24386933.939999998</v>
      </c>
      <c r="I315" s="26"/>
      <c r="J315" s="26"/>
      <c r="K315" s="26"/>
      <c r="L315" s="26"/>
      <c r="M315" s="26"/>
      <c r="N315" s="27"/>
      <c r="O315" s="28"/>
      <c r="P315" s="32"/>
    </row>
    <row r="316" spans="1:16" ht="25.5">
      <c r="A316" s="15" t="s">
        <v>457</v>
      </c>
      <c r="B316" s="14" t="s">
        <v>62</v>
      </c>
      <c r="C316" s="14" t="s">
        <v>32</v>
      </c>
      <c r="D316" s="14" t="s">
        <v>35</v>
      </c>
      <c r="E316" s="14" t="s">
        <v>49</v>
      </c>
      <c r="F316" s="35">
        <f>2321442.07+7630110.92</f>
        <v>9951552.99</v>
      </c>
      <c r="I316" s="26"/>
      <c r="J316" s="26"/>
      <c r="K316" s="26"/>
      <c r="L316" s="26"/>
      <c r="M316" s="26"/>
      <c r="N316" s="27"/>
      <c r="O316" s="28"/>
      <c r="P316" s="32"/>
    </row>
    <row r="317" spans="1:16" ht="25.5">
      <c r="A317" s="15" t="s">
        <v>458</v>
      </c>
      <c r="B317" s="14" t="s">
        <v>62</v>
      </c>
      <c r="C317" s="14" t="s">
        <v>32</v>
      </c>
      <c r="D317" s="14" t="s">
        <v>35</v>
      </c>
      <c r="E317" s="14" t="s">
        <v>51</v>
      </c>
      <c r="F317" s="35">
        <f>20405.35+606044.25</f>
        <v>626449.6</v>
      </c>
      <c r="I317" s="26"/>
      <c r="J317" s="26"/>
      <c r="K317" s="26"/>
      <c r="L317" s="26"/>
      <c r="M317" s="26"/>
      <c r="N317" s="27"/>
      <c r="O317" s="28"/>
      <c r="P317" s="29"/>
    </row>
    <row r="318" spans="1:6" ht="51">
      <c r="A318" s="17" t="s">
        <v>65</v>
      </c>
      <c r="B318" s="14" t="s">
        <v>62</v>
      </c>
      <c r="C318" s="14" t="s">
        <v>32</v>
      </c>
      <c r="D318" s="14" t="s">
        <v>36</v>
      </c>
      <c r="E318" s="14" t="s">
        <v>48</v>
      </c>
      <c r="F318" s="35">
        <f>1140273.25+11299.31+340664.25</f>
        <v>1492236.81</v>
      </c>
    </row>
    <row r="319" spans="1:6" ht="38.25">
      <c r="A319" s="15" t="s">
        <v>66</v>
      </c>
      <c r="B319" s="14" t="s">
        <v>62</v>
      </c>
      <c r="C319" s="14" t="s">
        <v>32</v>
      </c>
      <c r="D319" s="14" t="s">
        <v>36</v>
      </c>
      <c r="E319" s="14" t="s">
        <v>49</v>
      </c>
      <c r="F319" s="35">
        <f>63934.2+30037.04</f>
        <v>93971.23999999999</v>
      </c>
    </row>
    <row r="320" spans="1:6" ht="25.5">
      <c r="A320" s="15" t="s">
        <v>67</v>
      </c>
      <c r="B320" s="14" t="s">
        <v>62</v>
      </c>
      <c r="C320" s="14" t="s">
        <v>32</v>
      </c>
      <c r="D320" s="14" t="s">
        <v>36</v>
      </c>
      <c r="E320" s="14" t="s">
        <v>51</v>
      </c>
      <c r="F320" s="35">
        <v>10190.95</v>
      </c>
    </row>
    <row r="321" spans="1:6" ht="51">
      <c r="A321" s="17" t="s">
        <v>69</v>
      </c>
      <c r="B321" s="14" t="s">
        <v>68</v>
      </c>
      <c r="C321" s="14" t="s">
        <v>32</v>
      </c>
      <c r="D321" s="14" t="s">
        <v>33</v>
      </c>
      <c r="E321" s="14" t="s">
        <v>48</v>
      </c>
      <c r="F321" s="35">
        <v>1231418.84</v>
      </c>
    </row>
    <row r="322" spans="1:6" ht="45.75" customHeight="1">
      <c r="A322" s="17" t="s">
        <v>23</v>
      </c>
      <c r="B322" s="14" t="s">
        <v>81</v>
      </c>
      <c r="C322" s="14" t="s">
        <v>32</v>
      </c>
      <c r="D322" s="14" t="s">
        <v>36</v>
      </c>
      <c r="E322" s="14" t="s">
        <v>48</v>
      </c>
      <c r="F322" s="35">
        <f>859500+57000</f>
        <v>916500</v>
      </c>
    </row>
    <row r="323" spans="1:6" ht="38.25">
      <c r="A323" s="15" t="s">
        <v>454</v>
      </c>
      <c r="B323" s="14" t="s">
        <v>376</v>
      </c>
      <c r="C323" s="14" t="s">
        <v>32</v>
      </c>
      <c r="D323" s="14" t="s">
        <v>35</v>
      </c>
      <c r="E323" s="14" t="s">
        <v>49</v>
      </c>
      <c r="F323" s="35">
        <v>30700</v>
      </c>
    </row>
    <row r="324" spans="1:6" ht="51">
      <c r="A324" s="17" t="s">
        <v>455</v>
      </c>
      <c r="B324" s="14" t="s">
        <v>377</v>
      </c>
      <c r="C324" s="14" t="s">
        <v>32</v>
      </c>
      <c r="D324" s="14" t="s">
        <v>35</v>
      </c>
      <c r="E324" s="14" t="s">
        <v>48</v>
      </c>
      <c r="F324" s="35">
        <v>86235</v>
      </c>
    </row>
    <row r="325" spans="1:6" ht="38.25">
      <c r="A325" s="15" t="s">
        <v>456</v>
      </c>
      <c r="B325" s="14" t="s">
        <v>377</v>
      </c>
      <c r="C325" s="14" t="s">
        <v>32</v>
      </c>
      <c r="D325" s="14" t="s">
        <v>35</v>
      </c>
      <c r="E325" s="14" t="s">
        <v>49</v>
      </c>
      <c r="F325" s="35">
        <v>7565</v>
      </c>
    </row>
    <row r="326" spans="1:6" ht="51">
      <c r="A326" s="17" t="s">
        <v>148</v>
      </c>
      <c r="B326" s="14" t="s">
        <v>378</v>
      </c>
      <c r="C326" s="14" t="s">
        <v>32</v>
      </c>
      <c r="D326" s="14" t="s">
        <v>35</v>
      </c>
      <c r="E326" s="14" t="s">
        <v>48</v>
      </c>
      <c r="F326" s="38">
        <f>211492+63908</f>
        <v>275400</v>
      </c>
    </row>
    <row r="327" spans="1:6" ht="25.5">
      <c r="A327" s="15" t="s">
        <v>457</v>
      </c>
      <c r="B327" s="14" t="s">
        <v>378</v>
      </c>
      <c r="C327" s="14" t="s">
        <v>32</v>
      </c>
      <c r="D327" s="14" t="s">
        <v>35</v>
      </c>
      <c r="E327" s="14" t="s">
        <v>49</v>
      </c>
      <c r="F327" s="38">
        <f>18551+44849</f>
        <v>63400</v>
      </c>
    </row>
    <row r="328" spans="1:6" ht="76.5">
      <c r="A328" s="17" t="s">
        <v>149</v>
      </c>
      <c r="B328" s="14" t="s">
        <v>379</v>
      </c>
      <c r="C328" s="14" t="s">
        <v>33</v>
      </c>
      <c r="D328" s="14" t="s">
        <v>35</v>
      </c>
      <c r="E328" s="14" t="s">
        <v>48</v>
      </c>
      <c r="F328" s="38">
        <f>1462422.98+13697.6+466315.88</f>
        <v>1942436.46</v>
      </c>
    </row>
    <row r="329" spans="1:6" ht="63.75">
      <c r="A329" s="17" t="s">
        <v>459</v>
      </c>
      <c r="B329" s="14" t="s">
        <v>379</v>
      </c>
      <c r="C329" s="14" t="s">
        <v>33</v>
      </c>
      <c r="D329" s="14" t="s">
        <v>35</v>
      </c>
      <c r="E329" s="14" t="s">
        <v>49</v>
      </c>
      <c r="F329" s="38">
        <f>184081+432701.54</f>
        <v>616782.54</v>
      </c>
    </row>
    <row r="330" spans="1:6" ht="51">
      <c r="A330" s="17" t="s">
        <v>460</v>
      </c>
      <c r="B330" s="14" t="s">
        <v>379</v>
      </c>
      <c r="C330" s="14" t="s">
        <v>33</v>
      </c>
      <c r="D330" s="14" t="s">
        <v>35</v>
      </c>
      <c r="E330" s="14" t="s">
        <v>51</v>
      </c>
      <c r="F330" s="38">
        <v>6481</v>
      </c>
    </row>
    <row r="331" spans="1:6" ht="13.5">
      <c r="A331" s="17" t="s">
        <v>50</v>
      </c>
      <c r="B331" s="14" t="s">
        <v>70</v>
      </c>
      <c r="C331" s="14"/>
      <c r="D331" s="14"/>
      <c r="E331" s="14"/>
      <c r="F331" s="35">
        <f>F332+F333</f>
        <v>279589.68</v>
      </c>
    </row>
    <row r="332" spans="1:6" ht="25.5">
      <c r="A332" s="15" t="s">
        <v>67</v>
      </c>
      <c r="B332" s="14" t="s">
        <v>71</v>
      </c>
      <c r="C332" s="14" t="s">
        <v>32</v>
      </c>
      <c r="D332" s="14" t="s">
        <v>33</v>
      </c>
      <c r="E332" s="14" t="s">
        <v>51</v>
      </c>
      <c r="F332" s="35">
        <v>750</v>
      </c>
    </row>
    <row r="333" spans="1:6" ht="25.5">
      <c r="A333" s="15" t="s">
        <v>67</v>
      </c>
      <c r="B333" s="14" t="s">
        <v>71</v>
      </c>
      <c r="C333" s="14" t="s">
        <v>32</v>
      </c>
      <c r="D333" s="14" t="s">
        <v>35</v>
      </c>
      <c r="E333" s="14" t="s">
        <v>51</v>
      </c>
      <c r="F333" s="35">
        <v>278839.68</v>
      </c>
    </row>
  </sheetData>
  <sheetProtection/>
  <mergeCells count="3">
    <mergeCell ref="A3:F3"/>
    <mergeCell ref="A2:F2"/>
    <mergeCell ref="B1:F1"/>
  </mergeCells>
  <printOptions/>
  <pageMargins left="0.8267716535433072" right="0.1968503937007874" top="0.3937007874015748" bottom="0.1968503937007874" header="0.1968503937007874" footer="0.11811023622047245"/>
  <pageSetup fitToHeight="10" horizontalDpi="600" verticalDpi="600" orientation="portrait" paperSize="9" scale="87" r:id="rId2"/>
  <headerFooter alignWithMargins="0">
    <oddHeader>&amp;C&amp;P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sd-upravdel</cp:lastModifiedBy>
  <cp:lastPrinted>2017-12-25T10:09:39Z</cp:lastPrinted>
  <dcterms:created xsi:type="dcterms:W3CDTF">2008-10-16T09:22:50Z</dcterms:created>
  <dcterms:modified xsi:type="dcterms:W3CDTF">2018-01-09T12:11:44Z</dcterms:modified>
  <cp:category/>
  <cp:version/>
  <cp:contentType/>
  <cp:contentStatus/>
</cp:coreProperties>
</file>